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6.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drawings/drawing7.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8.xml" ContentType="application/vnd.openxmlformats-officedocument.drawing+xml"/>
  <Override PartName="/xl/tables/table18.xml" ContentType="application/vnd.openxmlformats-officedocument.spreadsheetml.table+xml"/>
  <Override PartName="/xl/drawings/drawing9.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drawings/drawing10.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drawings/drawing11.xml" ContentType="application/vnd.openxmlformats-officedocument.drawing+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drawings/drawing13.xml" ContentType="application/vnd.openxmlformats-officedocument.drawing+xml"/>
  <Override PartName="/xl/tables/table26.xml" ContentType="application/vnd.openxmlformats-officedocument.spreadsheetml.table+xml"/>
  <Override PartName="/xl/tables/table27.xml" ContentType="application/vnd.openxmlformats-officedocument.spreadsheetml.table+xml"/>
  <Override PartName="/xl/drawings/drawing14.xml" ContentType="application/vnd.openxmlformats-officedocument.drawing+xml"/>
  <Override PartName="/xl/tables/table28.xml" ContentType="application/vnd.openxmlformats-officedocument.spreadsheetml.table+xml"/>
  <Override PartName="/xl/drawings/drawing15.xml" ContentType="application/vnd.openxmlformats-officedocument.drawing+xml"/>
  <Override PartName="/xl/tables/table29.xml" ContentType="application/vnd.openxmlformats-officedocument.spreadsheetml.table+xml"/>
  <Override PartName="/xl/drawings/drawing16.xml" ContentType="application/vnd.openxmlformats-officedocument.drawing+xml"/>
  <Override PartName="/xl/tables/table30.xml" ContentType="application/vnd.openxmlformats-officedocument.spreadsheetml.table+xml"/>
  <Override PartName="/xl/drawings/drawing17.xml" ContentType="application/vnd.openxmlformats-officedocument.drawing+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JJ11703\Documents\GTE Aeronautics Rotation\Spring 24 GTE Bid Tab Project\"/>
    </mc:Choice>
  </mc:AlternateContent>
  <xr:revisionPtr revIDLastSave="0" documentId="13_ncr:1_{21FDE910-3E64-4209-82FD-93405D46E3DF}" xr6:coauthVersionLast="47" xr6:coauthVersionMax="47" xr10:uidLastSave="{00000000-0000-0000-0000-000000000000}"/>
  <bookViews>
    <workbookView xWindow="28680" yWindow="60" windowWidth="29040" windowHeight="15840" activeTab="2" xr2:uid="{FB759706-A692-4127-A21C-A4FB9946AABC}"/>
  </bookViews>
  <sheets>
    <sheet name="GUIDE" sheetId="12" r:id="rId1"/>
    <sheet name="DATA" sheetId="11" state="hidden" r:id="rId2"/>
    <sheet name="INDEX" sheetId="7" r:id="rId3"/>
    <sheet name="0A3" sheetId="25" r:id="rId4"/>
    <sheet name="1A7" sheetId="23" r:id="rId5"/>
    <sheet name="2M2" sheetId="13" r:id="rId6"/>
    <sheet name="FYE" sheetId="14" r:id="rId7"/>
    <sheet name="JWN" sheetId="22" r:id="rId8"/>
    <sheet name="LUG" sheetId="16" r:id="rId9"/>
    <sheet name="M54" sheetId="24" r:id="rId10"/>
    <sheet name="M91" sheetId="17" r:id="rId11"/>
    <sheet name="MKL" sheetId="18" r:id="rId12"/>
    <sheet name="MKL(2)" sheetId="19" r:id="rId13"/>
    <sheet name="MKL(3)" sheetId="28" r:id="rId14"/>
    <sheet name="MKL(4)" sheetId="29" r:id="rId15"/>
    <sheet name="MQY" sheetId="1" r:id="rId16"/>
    <sheet name="UCY" sheetId="20" r:id="rId17"/>
    <sheet name="XNX" sheetId="21"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2" l="1"/>
  <c r="G155" i="22"/>
  <c r="B9" i="29"/>
  <c r="B10" i="25"/>
  <c r="B9" i="25"/>
  <c r="B5" i="25"/>
  <c r="B4" i="25"/>
  <c r="B10" i="24"/>
  <c r="B9" i="24"/>
  <c r="B5" i="24"/>
  <c r="B4" i="24"/>
  <c r="B10" i="21"/>
  <c r="B9" i="21"/>
  <c r="B5" i="21"/>
  <c r="B4" i="21"/>
  <c r="B10" i="20"/>
  <c r="B9" i="20"/>
  <c r="B5" i="20"/>
  <c r="B4" i="20"/>
  <c r="B10" i="1"/>
  <c r="B9" i="1"/>
  <c r="B5" i="1"/>
  <c r="B4" i="1"/>
  <c r="B10" i="29"/>
  <c r="B5" i="29"/>
  <c r="B4" i="29"/>
  <c r="B9" i="28"/>
  <c r="B10" i="28"/>
  <c r="B4" i="28"/>
  <c r="B5" i="28"/>
  <c r="B9" i="19"/>
  <c r="B10" i="19"/>
  <c r="B4" i="19"/>
  <c r="B5" i="19"/>
  <c r="B9" i="18"/>
  <c r="B10" i="18"/>
  <c r="B4" i="18"/>
  <c r="B5" i="18"/>
  <c r="B9" i="17"/>
  <c r="B10" i="17"/>
  <c r="B4" i="17"/>
  <c r="B5" i="17"/>
  <c r="B9" i="22"/>
  <c r="B10" i="22"/>
  <c r="B5" i="22"/>
  <c r="B9" i="16"/>
  <c r="B10" i="16"/>
  <c r="B4" i="16"/>
  <c r="B5" i="16"/>
  <c r="B9" i="14"/>
  <c r="B10" i="14"/>
  <c r="B5" i="14"/>
  <c r="B4" i="14"/>
  <c r="B10" i="13"/>
  <c r="B9" i="13"/>
  <c r="B5" i="13"/>
  <c r="B4" i="13"/>
  <c r="B10" i="23"/>
  <c r="B9" i="23"/>
  <c r="B5" i="23"/>
  <c r="B4" i="23"/>
  <c r="Q42" i="29" l="1"/>
  <c r="O42" i="29"/>
  <c r="M42" i="29"/>
  <c r="K42" i="29"/>
  <c r="I42" i="29"/>
  <c r="G42" i="29"/>
  <c r="K33" i="28"/>
  <c r="K32" i="28"/>
  <c r="K31" i="28"/>
  <c r="K30" i="28"/>
  <c r="K29" i="28"/>
  <c r="I33" i="28"/>
  <c r="I32" i="28"/>
  <c r="I31" i="28"/>
  <c r="I30" i="28"/>
  <c r="I29" i="28"/>
  <c r="G31" i="28"/>
  <c r="G30" i="28"/>
  <c r="G29" i="28"/>
  <c r="K23" i="28"/>
  <c r="I23" i="28"/>
  <c r="G23" i="28"/>
  <c r="I44" i="29" l="1"/>
  <c r="I46" i="29" s="1"/>
  <c r="K44" i="29"/>
  <c r="K46" i="29" s="1"/>
  <c r="M44" i="29"/>
  <c r="M46" i="29" s="1"/>
  <c r="I29" i="25" l="1"/>
  <c r="K29" i="25"/>
  <c r="M29" i="25"/>
  <c r="G29" i="25"/>
  <c r="O49" i="24"/>
  <c r="O42" i="24"/>
  <c r="O50" i="24" s="1"/>
  <c r="M42" i="24"/>
  <c r="G42" i="24"/>
  <c r="M49" i="24"/>
  <c r="K49" i="24"/>
  <c r="I49" i="24"/>
  <c r="G49" i="24"/>
  <c r="K42" i="24"/>
  <c r="K50" i="24" s="1"/>
  <c r="I42" i="24"/>
  <c r="I50" i="24" s="1"/>
  <c r="O88" i="23"/>
  <c r="M88" i="23"/>
  <c r="K88" i="23"/>
  <c r="I88" i="23"/>
  <c r="G88" i="23"/>
  <c r="O82" i="23"/>
  <c r="M82" i="23"/>
  <c r="K82" i="23"/>
  <c r="I82" i="23"/>
  <c r="G82" i="23"/>
  <c r="O46" i="23"/>
  <c r="M46" i="23"/>
  <c r="K46" i="23"/>
  <c r="I46" i="23"/>
  <c r="G46" i="23"/>
  <c r="O40" i="23"/>
  <c r="M40" i="23"/>
  <c r="K40" i="23"/>
  <c r="I40" i="23"/>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65" i="22"/>
  <c r="K166" i="22"/>
  <c r="K167" i="22"/>
  <c r="K168" i="22"/>
  <c r="K169" i="22"/>
  <c r="K170" i="22"/>
  <c r="K171" i="22"/>
  <c r="K172" i="22"/>
  <c r="K173" i="22"/>
  <c r="K174" i="22"/>
  <c r="K164" i="22"/>
  <c r="I156" i="22"/>
  <c r="G156" i="22"/>
  <c r="K105" i="22"/>
  <c r="I105" i="22"/>
  <c r="G105" i="22"/>
  <c r="I175" i="22"/>
  <c r="G175" i="22"/>
  <c r="G54" i="22"/>
  <c r="I54" i="22"/>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M14" i="1"/>
  <c r="K14" i="1"/>
  <c r="I14" i="1"/>
  <c r="G14" i="1"/>
  <c r="N22" i="18"/>
  <c r="K22" i="18"/>
  <c r="H22" i="18"/>
  <c r="H54" i="17"/>
  <c r="J56" i="17"/>
  <c r="H56" i="17"/>
  <c r="J21" i="16"/>
  <c r="M108" i="21"/>
  <c r="K108" i="21"/>
  <c r="I108" i="21"/>
  <c r="G108" i="21"/>
  <c r="M95" i="21"/>
  <c r="K95" i="21"/>
  <c r="I95" i="21"/>
  <c r="G95" i="21"/>
  <c r="M80" i="21"/>
  <c r="K80" i="21"/>
  <c r="I80" i="21"/>
  <c r="G80" i="21"/>
  <c r="M55" i="21"/>
  <c r="K55" i="21"/>
  <c r="I55" i="21"/>
  <c r="G55" i="21"/>
  <c r="M38" i="20"/>
  <c r="K38" i="20"/>
  <c r="I38" i="20"/>
  <c r="G38" i="20"/>
  <c r="M95" i="19"/>
  <c r="K95" i="19"/>
  <c r="I95" i="19"/>
  <c r="G95" i="19"/>
  <c r="F22" i="18"/>
  <c r="J54" i="17"/>
  <c r="F54" i="17"/>
  <c r="J44" i="17"/>
  <c r="H44" i="17"/>
  <c r="F44" i="17"/>
  <c r="N20" i="16"/>
  <c r="N21" i="16" s="1"/>
  <c r="L20" i="16"/>
  <c r="L21" i="16" s="1"/>
  <c r="J20" i="16"/>
  <c r="H20" i="16"/>
  <c r="H21" i="16" s="1"/>
  <c r="F20" i="16"/>
  <c r="I43" i="14"/>
  <c r="G43" i="14"/>
  <c r="I38" i="14"/>
  <c r="G38" i="14"/>
  <c r="K38" i="14"/>
  <c r="K43" i="14"/>
  <c r="K41" i="13"/>
  <c r="K45" i="13" s="1"/>
  <c r="I41" i="13"/>
  <c r="I45" i="13" s="1"/>
  <c r="G41" i="13"/>
  <c r="K48" i="23" l="1"/>
  <c r="G90" i="23"/>
  <c r="O48" i="23"/>
  <c r="M90" i="23"/>
  <c r="M48" i="23"/>
  <c r="O90" i="23"/>
  <c r="K90" i="23"/>
  <c r="I90" i="23"/>
  <c r="I48" i="23"/>
  <c r="G50" i="24"/>
  <c r="M50" i="24"/>
  <c r="M51" i="24" s="1"/>
  <c r="M52" i="24" s="1"/>
  <c r="G40" i="23"/>
  <c r="G48" i="23" s="1"/>
  <c r="G44" i="14"/>
  <c r="K156" i="22"/>
  <c r="K175" i="22"/>
  <c r="K177" i="22" s="1"/>
  <c r="K179" i="22" s="1"/>
  <c r="I177" i="22"/>
  <c r="I179" i="22" s="1"/>
  <c r="K158" i="22"/>
  <c r="K160" i="22" s="1"/>
  <c r="I158" i="22"/>
  <c r="I160" i="22" s="1"/>
  <c r="I107" i="22"/>
  <c r="I109" i="22" s="1"/>
  <c r="K107" i="22"/>
  <c r="K109" i="22" s="1"/>
  <c r="K54" i="22"/>
  <c r="K56" i="22" s="1"/>
  <c r="K58" i="22" s="1"/>
  <c r="I56" i="22"/>
  <c r="I58" i="22" s="1"/>
  <c r="I124" i="1"/>
  <c r="K124" i="1"/>
  <c r="M124" i="1"/>
  <c r="M126" i="1" s="1"/>
  <c r="G124" i="1"/>
  <c r="I126" i="1" s="1"/>
  <c r="I44" i="14"/>
  <c r="H45" i="17"/>
  <c r="I40" i="20"/>
  <c r="I42" i="20" s="1"/>
  <c r="K40" i="20"/>
  <c r="K42" i="20" s="1"/>
  <c r="M40" i="20"/>
  <c r="M42" i="20" s="1"/>
  <c r="I97" i="19"/>
  <c r="I99" i="19" s="1"/>
  <c r="M97" i="19"/>
  <c r="M99" i="19" s="1"/>
  <c r="K97" i="19"/>
  <c r="K99" i="19" s="1"/>
  <c r="J45" i="17"/>
  <c r="K44" i="14"/>
  <c r="G42" i="13"/>
  <c r="G45" i="13" s="1"/>
  <c r="I43" i="13"/>
  <c r="I44" i="13" s="1"/>
  <c r="K43" i="13"/>
  <c r="K44" i="13" s="1"/>
  <c r="M92" i="23" l="1"/>
  <c r="M94" i="23" s="1"/>
  <c r="O92" i="23"/>
  <c r="O94" i="23" s="1"/>
  <c r="I92" i="23"/>
  <c r="I94" i="23" s="1"/>
  <c r="K92" i="23"/>
  <c r="K94" i="23" s="1"/>
  <c r="O50" i="23"/>
  <c r="O52" i="23" s="1"/>
  <c r="I50" i="23"/>
  <c r="I52" i="23" s="1"/>
  <c r="M50" i="23"/>
  <c r="M52" i="23" s="1"/>
  <c r="K50" i="23"/>
  <c r="K52" i="23" s="1"/>
  <c r="I51" i="24"/>
  <c r="I52" i="24" s="1"/>
  <c r="K51" i="24"/>
  <c r="K52" i="24" s="1"/>
  <c r="O51" i="24"/>
  <c r="O52" i="24" s="1"/>
  <c r="K126" i="1"/>
  <c r="I128" i="1"/>
  <c r="M128" i="1"/>
  <c r="K128" i="1"/>
  <c r="K30" i="13"/>
  <c r="I30" i="13"/>
  <c r="G30" i="13"/>
  <c r="G31" i="13" l="1"/>
  <c r="G34" i="13" s="1"/>
  <c r="G46" i="13" s="1"/>
  <c r="K32" i="13"/>
  <c r="K33" i="13" s="1"/>
  <c r="K46" i="13"/>
  <c r="K34" i="13"/>
  <c r="I32" i="13"/>
  <c r="I33" i="13" s="1"/>
  <c r="I46" i="13"/>
  <c r="I34" i="13"/>
  <c r="V22" i="12"/>
  <c r="V21" i="12"/>
  <c r="V17" i="12"/>
  <c r="V16"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BCFF9FA-8EDC-4EE6-BED1-BBA032E30C07}" keepAlive="1" name="Query - Table001 (Page 1)" description="Connection to the 'Table001 (Page 1)' query in the workbook." type="5" refreshedVersion="0" background="1">
    <dbPr connection="Provider=Microsoft.Mashup.OleDb.1;Data Source=$Workbook$;Location=&quot;Table001 (Page 1)&quot;;Extended Properties=&quot;&quot;" command="SELECT * FROM [Table001 (Page 1)]"/>
  </connection>
  <connection id="2" xr16:uid="{6CB55213-3F7B-4517-B975-C6FD8F608071}" keepAlive="1" name="Query - Table002 (Page 2)" description="Connection to the 'Table002 (Page 2)' query in the workbook." type="5" refreshedVersion="0" background="1">
    <dbPr connection="Provider=Microsoft.Mashup.OleDb.1;Data Source=$Workbook$;Location=&quot;Table002 (Page 2)&quot;;Extended Properties=&quot;&quot;" command="SELECT * FROM [Table002 (Page 2)]"/>
  </connection>
  <connection id="3" xr16:uid="{32D684E4-B82E-4FA0-8054-E1075DA77A7C}" keepAlive="1" name="Query - Table003 (Page 3)" description="Connection to the 'Table003 (Page 3)' query in the workbook." type="5" refreshedVersion="0" background="1">
    <dbPr connection="Provider=Microsoft.Mashup.OleDb.1;Data Source=$Workbook$;Location=&quot;Table003 (Page 3)&quot;;Extended Properties=&quot;&quot;" command="SELECT * FROM [Table003 (Page 3)]"/>
  </connection>
  <connection id="4" xr16:uid="{D4E418DF-3F4A-47A4-82EB-00FA9D7C12BA}" keepAlive="1" name="Query - Table004 (Page 4)" description="Connection to the 'Table004 (Page 4)' query in the workbook." type="5" refreshedVersion="0" background="1">
    <dbPr connection="Provider=Microsoft.Mashup.OleDb.1;Data Source=$Workbook$;Location=&quot;Table004 (Page 4)&quot;;Extended Properties=&quot;&quot;" command="SELECT * FROM [Table004 (Page 4)]"/>
  </connection>
  <connection id="5" xr16:uid="{6A19C180-B014-4755-AF42-AAFD6326B915}" keepAlive="1" name="Query - Table005 (Page 5)" description="Connection to the 'Table005 (Page 5)' query in the workbook." type="5" refreshedVersion="0" background="1">
    <dbPr connection="Provider=Microsoft.Mashup.OleDb.1;Data Source=$Workbook$;Location=&quot;Table005 (Page 5)&quot;;Extended Properties=&quot;&quot;" command="SELECT * FROM [Table005 (Page 5)]"/>
  </connection>
  <connection id="6" xr16:uid="{CD435C38-8182-47F8-8E8C-99FBE2E3D750}" keepAlive="1" name="Query - Table006 (Page 5)" description="Connection to the 'Table006 (Page 5)' query in the workbook." type="5" refreshedVersion="0" background="1">
    <dbPr connection="Provider=Microsoft.Mashup.OleDb.1;Data Source=$Workbook$;Location=&quot;Table006 (Page 5)&quot;;Extended Properties=&quot;&quot;" command="SELECT * FROM [Table006 (Page 5)]"/>
  </connection>
  <connection id="7" xr16:uid="{EBF73BCA-3B8C-4580-94BE-F83BC5D7B787}" keepAlive="1" name="Query - Table007 (Page 6)" description="Connection to the 'Table007 (Page 6)' query in the workbook." type="5" refreshedVersion="0" background="1">
    <dbPr connection="Provider=Microsoft.Mashup.OleDb.1;Data Source=$Workbook$;Location=&quot;Table007 (Page 6)&quot;;Extended Properties=&quot;&quot;" command="SELECT * FROM [Table007 (Page 6)]"/>
  </connection>
  <connection id="8" xr16:uid="{BDB0A82D-B9F6-463E-B3A4-B56592F8154F}" keepAlive="1" name="Query - Table008 (Page 7)" description="Connection to the 'Table008 (Page 7)' query in the workbook." type="5" refreshedVersion="0" background="1">
    <dbPr connection="Provider=Microsoft.Mashup.OleDb.1;Data Source=$Workbook$;Location=&quot;Table008 (Page 7)&quot;;Extended Properties=&quot;&quot;" command="SELECT * FROM [Table008 (Page 7)]"/>
  </connection>
</connections>
</file>

<file path=xl/sharedStrings.xml><?xml version="1.0" encoding="utf-8"?>
<sst xmlns="http://schemas.openxmlformats.org/spreadsheetml/2006/main" count="3296" uniqueCount="1320">
  <si>
    <t>ID:</t>
  </si>
  <si>
    <t>CSV</t>
  </si>
  <si>
    <t>City:</t>
  </si>
  <si>
    <t>Airport:</t>
  </si>
  <si>
    <t>Project Description:</t>
  </si>
  <si>
    <t>Runway 26 PAPI Replacement</t>
  </si>
  <si>
    <t>TAD #:</t>
  </si>
  <si>
    <t>18-555-0154-22</t>
  </si>
  <si>
    <t>Bid Date:</t>
  </si>
  <si>
    <t>County:</t>
  </si>
  <si>
    <t>Grand Division:</t>
  </si>
  <si>
    <t>BASE BID (Runway 26 PAPI Replacement)</t>
  </si>
  <si>
    <t>ENGINEER'S ESTIMATE</t>
  </si>
  <si>
    <t>STANSELL ELECTRIC COMPANY, INC.</t>
  </si>
  <si>
    <t>SOUTHEAST SITE SERVICES, LLC</t>
  </si>
  <si>
    <t>ITEM NO.</t>
  </si>
  <si>
    <t>SPEC NO.</t>
  </si>
  <si>
    <t>DESCRIPTION</t>
  </si>
  <si>
    <t>UNIT</t>
  </si>
  <si>
    <t>ESTIMATED QUANTITY</t>
  </si>
  <si>
    <t>UNIT COST</t>
  </si>
  <si>
    <t>EXTENDED TOTAL</t>
  </si>
  <si>
    <t>UNIT COST2</t>
  </si>
  <si>
    <t>EXTENDED TOTAL2</t>
  </si>
  <si>
    <t>UNIT COST3</t>
  </si>
  <si>
    <t>EXTENDED TOTAL3</t>
  </si>
  <si>
    <t>C-105-6.1</t>
  </si>
  <si>
    <t>Mobilization</t>
  </si>
  <si>
    <t>LS</t>
  </si>
  <si>
    <t>L-100-5.1</t>
  </si>
  <si>
    <t>Electrical Demolition</t>
  </si>
  <si>
    <t>L-125-5.1</t>
  </si>
  <si>
    <t>L-880(L) LED, Style A, Class I, Precision Apporach Path Indicator (4-Box) with Connections</t>
  </si>
  <si>
    <t>TOTALS</t>
  </si>
  <si>
    <t>ID</t>
  </si>
  <si>
    <t>County</t>
  </si>
  <si>
    <t>City</t>
  </si>
  <si>
    <t>Airport</t>
  </si>
  <si>
    <t>G. Div.</t>
  </si>
  <si>
    <t>0A3</t>
  </si>
  <si>
    <t>Dekalb</t>
  </si>
  <si>
    <t>Smithville</t>
  </si>
  <si>
    <t>Smithville Municipal</t>
  </si>
  <si>
    <t>Middle</t>
  </si>
  <si>
    <t>0A4</t>
  </si>
  <si>
    <t>Washington</t>
  </si>
  <si>
    <t>Johnson City</t>
  </si>
  <si>
    <t>East</t>
  </si>
  <si>
    <t>0A9</t>
  </si>
  <si>
    <t>Carter</t>
  </si>
  <si>
    <t>Elizabethton</t>
  </si>
  <si>
    <t>Elizabethton Municipal</t>
  </si>
  <si>
    <t>0M2</t>
  </si>
  <si>
    <t>Lake</t>
  </si>
  <si>
    <t>Tiptonville</t>
  </si>
  <si>
    <t>Reelfoot Lake</t>
  </si>
  <si>
    <t>West</t>
  </si>
  <si>
    <t>0M3</t>
  </si>
  <si>
    <t>Lewis</t>
  </si>
  <si>
    <t>Hohenwald</t>
  </si>
  <si>
    <t>John A. Baker Field</t>
  </si>
  <si>
    <t>0M4</t>
  </si>
  <si>
    <t>Benton</t>
  </si>
  <si>
    <t>Camden</t>
  </si>
  <si>
    <t>Benton County</t>
  </si>
  <si>
    <t>0M5</t>
  </si>
  <si>
    <t>Humphreys</t>
  </si>
  <si>
    <t>Waverly</t>
  </si>
  <si>
    <t>Humphreys County</t>
  </si>
  <si>
    <t>1A0</t>
  </si>
  <si>
    <t>Hamilton</t>
  </si>
  <si>
    <t>Chattanooga</t>
  </si>
  <si>
    <t>Dallas Bay Skypark</t>
  </si>
  <si>
    <t>1A3</t>
  </si>
  <si>
    <t>Polk</t>
  </si>
  <si>
    <t>Copperhill</t>
  </si>
  <si>
    <t>Martin Campbell Field</t>
  </si>
  <si>
    <t>1A7</t>
  </si>
  <si>
    <t>Jackson</t>
  </si>
  <si>
    <t>Gainesboro</t>
  </si>
  <si>
    <t>Jackson County</t>
  </si>
  <si>
    <t>1M5</t>
  </si>
  <si>
    <t>Sumner</t>
  </si>
  <si>
    <t>Portland</t>
  </si>
  <si>
    <t>Portland Municipal</t>
  </si>
  <si>
    <t>2A0</t>
  </si>
  <si>
    <t>Rhea</t>
  </si>
  <si>
    <t>Dayton</t>
  </si>
  <si>
    <t>Mark Anton Airport</t>
  </si>
  <si>
    <t>2A1</t>
  </si>
  <si>
    <t>Fentress</t>
  </si>
  <si>
    <t>Jamestown</t>
  </si>
  <si>
    <t>Jamestown Municipal</t>
  </si>
  <si>
    <t>2M2</t>
  </si>
  <si>
    <t>Lawrence</t>
  </si>
  <si>
    <t>Lawrenceburg</t>
  </si>
  <si>
    <t>Lawrenceburg-Lawrence County</t>
  </si>
  <si>
    <t>2M8</t>
  </si>
  <si>
    <t>Shelby</t>
  </si>
  <si>
    <t>Millington</t>
  </si>
  <si>
    <t>Charles W. Baker</t>
  </si>
  <si>
    <t>3A2</t>
  </si>
  <si>
    <t>Claiborne</t>
  </si>
  <si>
    <t>Tazewell</t>
  </si>
  <si>
    <t>New Tazewell Municipal</t>
  </si>
  <si>
    <t>3M7</t>
  </si>
  <si>
    <t>Macon</t>
  </si>
  <si>
    <t>Lafayette</t>
  </si>
  <si>
    <t>Lafayette Municipal</t>
  </si>
  <si>
    <t>50M</t>
  </si>
  <si>
    <t>Bedford</t>
  </si>
  <si>
    <t>Eagleville</t>
  </si>
  <si>
    <t>Puckett</t>
  </si>
  <si>
    <t>54M</t>
  </si>
  <si>
    <t>Fayette</t>
  </si>
  <si>
    <t>Rossville</t>
  </si>
  <si>
    <t>Wolf River</t>
  </si>
  <si>
    <t>6A4</t>
  </si>
  <si>
    <t>Johnson</t>
  </si>
  <si>
    <t>Mountain City</t>
  </si>
  <si>
    <t>Johnson County</t>
  </si>
  <si>
    <t>8A3</t>
  </si>
  <si>
    <t>Overton</t>
  </si>
  <si>
    <t>Livingston</t>
  </si>
  <si>
    <t>Livingston Municipal</t>
  </si>
  <si>
    <t>92A</t>
  </si>
  <si>
    <t>Chilhowee Gliderport</t>
  </si>
  <si>
    <t>APT</t>
  </si>
  <si>
    <t>Marion</t>
  </si>
  <si>
    <t>Jasper</t>
  </si>
  <si>
    <t>Marion County-Brown Field</t>
  </si>
  <si>
    <t>BGF</t>
  </si>
  <si>
    <t>Franklin</t>
  </si>
  <si>
    <t>Winchester</t>
  </si>
  <si>
    <t>Winchester Municipal</t>
  </si>
  <si>
    <t>BNA</t>
  </si>
  <si>
    <t>Davidson</t>
  </si>
  <si>
    <t>Nashville</t>
  </si>
  <si>
    <t>Nashville International</t>
  </si>
  <si>
    <t>CHA</t>
  </si>
  <si>
    <t>Lovell Field</t>
  </si>
  <si>
    <t>CKV</t>
  </si>
  <si>
    <t>Montgomery</t>
  </si>
  <si>
    <t>Clarksville</t>
  </si>
  <si>
    <t>Outlaw Field</t>
  </si>
  <si>
    <t>Cumberland</t>
  </si>
  <si>
    <t>Crossville</t>
  </si>
  <si>
    <t>Crossville Memorial-Whitson Field</t>
  </si>
  <si>
    <t>DKX</t>
  </si>
  <si>
    <t>Knox</t>
  </si>
  <si>
    <t>Knoxville</t>
  </si>
  <si>
    <t>Knoxville Downtown Island</t>
  </si>
  <si>
    <t>DYR</t>
  </si>
  <si>
    <t>Dyer</t>
  </si>
  <si>
    <t>Dyersburg</t>
  </si>
  <si>
    <t>Dyersburg Regional Airport</t>
  </si>
  <si>
    <t>FGU</t>
  </si>
  <si>
    <t>Collegedale</t>
  </si>
  <si>
    <t>Collegedale Municipal</t>
  </si>
  <si>
    <t>FYE</t>
  </si>
  <si>
    <t>Somerville</t>
  </si>
  <si>
    <t>Fayette County</t>
  </si>
  <si>
    <t>FYM</t>
  </si>
  <si>
    <t>Lincoln</t>
  </si>
  <si>
    <t>Fayetteville</t>
  </si>
  <si>
    <t>Fayetteville Municipal</t>
  </si>
  <si>
    <t>GCY</t>
  </si>
  <si>
    <t>Greene</t>
  </si>
  <si>
    <t>Greeneville</t>
  </si>
  <si>
    <t>Greeneville-Greene County Municipal</t>
  </si>
  <si>
    <t>GHM</t>
  </si>
  <si>
    <t>Hickman</t>
  </si>
  <si>
    <t>Centerville</t>
  </si>
  <si>
    <t>Centerville Municipal</t>
  </si>
  <si>
    <t>GKT</t>
  </si>
  <si>
    <t>Sevier</t>
  </si>
  <si>
    <t>Sevierville</t>
  </si>
  <si>
    <t>Gatlinburg-Pigeon Forge</t>
  </si>
  <si>
    <t>GZS</t>
  </si>
  <si>
    <t>Giles</t>
  </si>
  <si>
    <t>Pulaski</t>
  </si>
  <si>
    <t>Abernathy Field</t>
  </si>
  <si>
    <t>HZD</t>
  </si>
  <si>
    <t>Carroll</t>
  </si>
  <si>
    <t>Huntingdon</t>
  </si>
  <si>
    <t>Carroll County</t>
  </si>
  <si>
    <t>JAU</t>
  </si>
  <si>
    <t>Campbell</t>
  </si>
  <si>
    <t>Jacksboro</t>
  </si>
  <si>
    <t>Campbell County</t>
  </si>
  <si>
    <t>JWN</t>
  </si>
  <si>
    <t>John C. Tune</t>
  </si>
  <si>
    <t>LUG</t>
  </si>
  <si>
    <t>Marshall</t>
  </si>
  <si>
    <t>Lewisburg</t>
  </si>
  <si>
    <t>Ellington</t>
  </si>
  <si>
    <t>M01</t>
  </si>
  <si>
    <t>Memphis</t>
  </si>
  <si>
    <t>General Dewitt Spain</t>
  </si>
  <si>
    <t>M02</t>
  </si>
  <si>
    <t>Dickson</t>
  </si>
  <si>
    <t>Dickson Municipal</t>
  </si>
  <si>
    <t>M04</t>
  </si>
  <si>
    <t>Tipton</t>
  </si>
  <si>
    <t>Covington</t>
  </si>
  <si>
    <t>Covington Municipal</t>
  </si>
  <si>
    <t>M08</t>
  </si>
  <si>
    <t>Hardeman</t>
  </si>
  <si>
    <t>Bolivar</t>
  </si>
  <si>
    <t>William L. Whitehurst Field</t>
  </si>
  <si>
    <t>M15</t>
  </si>
  <si>
    <t>Perry</t>
  </si>
  <si>
    <t>Linden</t>
  </si>
  <si>
    <t>James Tucker Airport</t>
  </si>
  <si>
    <t>M29</t>
  </si>
  <si>
    <t>Wayne</t>
  </si>
  <si>
    <t>Clifton</t>
  </si>
  <si>
    <t>Hassell Field</t>
  </si>
  <si>
    <t>M31</t>
  </si>
  <si>
    <t>Lauderdale</t>
  </si>
  <si>
    <t>Halls</t>
  </si>
  <si>
    <t>Arnold Field</t>
  </si>
  <si>
    <t>M53</t>
  </si>
  <si>
    <t>Gibson</t>
  </si>
  <si>
    <t>Humboldt</t>
  </si>
  <si>
    <t>Humboldt Municipal</t>
  </si>
  <si>
    <t>M54</t>
  </si>
  <si>
    <t>Wilson</t>
  </si>
  <si>
    <t>Lebanon</t>
  </si>
  <si>
    <t>Lebanon Municipal</t>
  </si>
  <si>
    <t>M91</t>
  </si>
  <si>
    <t>Robertson</t>
  </si>
  <si>
    <t>Springfield</t>
  </si>
  <si>
    <t>Springfield-Robertson County</t>
  </si>
  <si>
    <t>M93</t>
  </si>
  <si>
    <t>Houston</t>
  </si>
  <si>
    <t>Mckinnon</t>
  </si>
  <si>
    <t>Houston County</t>
  </si>
  <si>
    <t>MBT</t>
  </si>
  <si>
    <t>Rutherford</t>
  </si>
  <si>
    <t>Murfreesboro</t>
  </si>
  <si>
    <t>Murfreesboro Municipal</t>
  </si>
  <si>
    <t>MEM</t>
  </si>
  <si>
    <t>Memphis International</t>
  </si>
  <si>
    <t>MKL</t>
  </si>
  <si>
    <t>Madison</t>
  </si>
  <si>
    <t>McKellar-Sipes Regional</t>
  </si>
  <si>
    <t>MMI</t>
  </si>
  <si>
    <t>Mcminn</t>
  </si>
  <si>
    <t>Athens</t>
  </si>
  <si>
    <t>Mcminn County</t>
  </si>
  <si>
    <t>MNV</t>
  </si>
  <si>
    <t>Monroe</t>
  </si>
  <si>
    <t>Madisonville</t>
  </si>
  <si>
    <t>Monroe County</t>
  </si>
  <si>
    <t>MOR</t>
  </si>
  <si>
    <t>Hamblen</t>
  </si>
  <si>
    <t>Morristown</t>
  </si>
  <si>
    <t>Moore-Murrell Field</t>
  </si>
  <si>
    <t>MQY</t>
  </si>
  <si>
    <t>Smyrna</t>
  </si>
  <si>
    <t>Smyrna Airport</t>
  </si>
  <si>
    <t>MRC</t>
  </si>
  <si>
    <t>Maury</t>
  </si>
  <si>
    <t>Columbia/Mount Pleasant</t>
  </si>
  <si>
    <t>Maury County</t>
  </si>
  <si>
    <t>NQA</t>
  </si>
  <si>
    <t>Millington Regional Jetport</t>
  </si>
  <si>
    <t>PHT</t>
  </si>
  <si>
    <t>Henry</t>
  </si>
  <si>
    <t>Paris</t>
  </si>
  <si>
    <t>Henry County</t>
  </si>
  <si>
    <t>PVE</t>
  </si>
  <si>
    <t>Henderson</t>
  </si>
  <si>
    <t>Lexington-Parsons</t>
  </si>
  <si>
    <t>Beech River Regional</t>
  </si>
  <si>
    <t>RKW</t>
  </si>
  <si>
    <t>Morgan</t>
  </si>
  <si>
    <t>Rockwood</t>
  </si>
  <si>
    <t>Rockwood Municipal</t>
  </si>
  <si>
    <t>RNC</t>
  </si>
  <si>
    <t>Warren</t>
  </si>
  <si>
    <t>Mcminnville</t>
  </si>
  <si>
    <t>Warren County Memorial</t>
  </si>
  <si>
    <t>RVN</t>
  </si>
  <si>
    <t>Hawkins</t>
  </si>
  <si>
    <t>Rogersville</t>
  </si>
  <si>
    <t>Hawkins County</t>
  </si>
  <si>
    <t>RZR</t>
  </si>
  <si>
    <t>Bradley</t>
  </si>
  <si>
    <t>Cleveland</t>
  </si>
  <si>
    <t>Cleveland Regional Jetport</t>
  </si>
  <si>
    <t>SCX</t>
  </si>
  <si>
    <t>Scott</t>
  </si>
  <si>
    <t>Oneida</t>
  </si>
  <si>
    <t>Scott Municipal</t>
  </si>
  <si>
    <t>SNH</t>
  </si>
  <si>
    <t>Hardin</t>
  </si>
  <si>
    <t>Savannah</t>
  </si>
  <si>
    <t>Savannah-Hardin County</t>
  </si>
  <si>
    <t>SRB</t>
  </si>
  <si>
    <t>White</t>
  </si>
  <si>
    <t>Sparta</t>
  </si>
  <si>
    <t>Upper Cumberland Regional</t>
  </si>
  <si>
    <t>SYI</t>
  </si>
  <si>
    <t>Shelbyville</t>
  </si>
  <si>
    <t>Bomar Field-Shelbyville Municipal</t>
  </si>
  <si>
    <t>SZY</t>
  </si>
  <si>
    <t>Mcnairy</t>
  </si>
  <si>
    <t>Selmer</t>
  </si>
  <si>
    <t>Robert Sibley</t>
  </si>
  <si>
    <t>TGC</t>
  </si>
  <si>
    <t>Trenton</t>
  </si>
  <si>
    <t>Gibson County</t>
  </si>
  <si>
    <t>THA</t>
  </si>
  <si>
    <t>Coffee</t>
  </si>
  <si>
    <t>Tullahoma</t>
  </si>
  <si>
    <t>Tullahoma Regional/Wm Northern Field</t>
  </si>
  <si>
    <t>TRI</t>
  </si>
  <si>
    <t>Sullivan</t>
  </si>
  <si>
    <t>Bristol/Johnson/Kingsport</t>
  </si>
  <si>
    <t>Tri-Cities Regional</t>
  </si>
  <si>
    <t>TYS</t>
  </si>
  <si>
    <t>Blount</t>
  </si>
  <si>
    <t>Mcghee Tyson</t>
  </si>
  <si>
    <t>UCY</t>
  </si>
  <si>
    <t>Obion</t>
  </si>
  <si>
    <t>Union City</t>
  </si>
  <si>
    <t>Everett-Stewart Regional</t>
  </si>
  <si>
    <t>UOS</t>
  </si>
  <si>
    <t>Sewanee</t>
  </si>
  <si>
    <t>Franklin County</t>
  </si>
  <si>
    <t>XNX</t>
  </si>
  <si>
    <t>Gallatin</t>
  </si>
  <si>
    <t>Music City Executive</t>
  </si>
  <si>
    <t>ID and Link to Sheet</t>
  </si>
  <si>
    <t>Project Description</t>
  </si>
  <si>
    <t>TAD #</t>
  </si>
  <si>
    <t>Awarded Contractor</t>
  </si>
  <si>
    <t xml:space="preserve">Jackson County </t>
  </si>
  <si>
    <t>T-Hangar and Apron Project</t>
  </si>
  <si>
    <t xml:space="preserve">Lawrenceburg-Lawrence County </t>
  </si>
  <si>
    <t>Runway 17 Approach Clearing</t>
  </si>
  <si>
    <t>50-555-0182-23</t>
  </si>
  <si>
    <t>Doss Brothers, Inc.</t>
  </si>
  <si>
    <t xml:space="preserve">Fayette County </t>
  </si>
  <si>
    <t>T- Hangar Apron Expansion</t>
  </si>
  <si>
    <t>24-555-0153-23</t>
  </si>
  <si>
    <t>Bluff City Construction Co. LLC</t>
  </si>
  <si>
    <t xml:space="preserve">Ellington </t>
  </si>
  <si>
    <t>Security Fencing Project</t>
  </si>
  <si>
    <t>59-555-0159-23</t>
  </si>
  <si>
    <t>McCall Commercial Fencing, Inc.</t>
  </si>
  <si>
    <t xml:space="preserve">John C. Tune </t>
  </si>
  <si>
    <t>Terminal Parking Lot Expansion</t>
  </si>
  <si>
    <t>???</t>
  </si>
  <si>
    <t>Rogers Group, Inc.</t>
  </si>
  <si>
    <t xml:space="preserve">Springfield-Robertson County </t>
  </si>
  <si>
    <t>Above Ground Fueling System &amp; Apron Expansion Project</t>
  </si>
  <si>
    <t>74-555-0780-24</t>
  </si>
  <si>
    <t>TPM, Inc.</t>
  </si>
  <si>
    <t xml:space="preserve">McKellar-Sipes Regional </t>
  </si>
  <si>
    <t>Airfield Sign Replacement</t>
  </si>
  <si>
    <t>57-555-0748-23</t>
  </si>
  <si>
    <t>Guardian Electric</t>
  </si>
  <si>
    <t>MKL(2)</t>
  </si>
  <si>
    <t>100' Runway Reconstruction - Combined</t>
  </si>
  <si>
    <t>57-555-0551-23</t>
  </si>
  <si>
    <t>Ford Construction Company</t>
  </si>
  <si>
    <t>Rwy 1-19 Reconstruction and RSA Improvements with MIRLs</t>
  </si>
  <si>
    <t>75-555-0779-23</t>
  </si>
  <si>
    <t>Vulcan Construction Materials, LLC</t>
  </si>
  <si>
    <t xml:space="preserve">Everett-Stewart Regional </t>
  </si>
  <si>
    <t>Corporate Hangar Access Road</t>
  </si>
  <si>
    <t>66-555-0793-23</t>
  </si>
  <si>
    <t>Union City Paving LLC</t>
  </si>
  <si>
    <t xml:space="preserve">Music City Executive </t>
  </si>
  <si>
    <t>Midfield Apron Expansion</t>
  </si>
  <si>
    <t>83-555-0140-23</t>
  </si>
  <si>
    <t xml:space="preserve">Lebanon Municipal </t>
  </si>
  <si>
    <t>95-555-0784-24</t>
  </si>
  <si>
    <t xml:space="preserve">Smithville Municipal </t>
  </si>
  <si>
    <t>Runway 6-24 Obstruction Removal</t>
  </si>
  <si>
    <t>21-555-0551-23</t>
  </si>
  <si>
    <t>GBR Construction &amp; Landscaping, LLC</t>
  </si>
  <si>
    <t>MKL(3)</t>
  </si>
  <si>
    <t>Air Traffic Control Tower Upgrades</t>
  </si>
  <si>
    <t>57-555-0554-23</t>
  </si>
  <si>
    <t>Grinder-Taber-Grinder</t>
  </si>
  <si>
    <t>MKL(4)</t>
  </si>
  <si>
    <t>Corporate Hangar Access &amp; Security Fencing</t>
  </si>
  <si>
    <t>BASE BID (Schedule No. 1 - Site Prep)</t>
  </si>
  <si>
    <t>JAVE, LLC</t>
  </si>
  <si>
    <t>PHOENIX COMMERICAL BUILDERS</t>
  </si>
  <si>
    <t>J&amp;S CONSTRUCTION COMPANY</t>
  </si>
  <si>
    <t>CLEARY CONSTRUCTION, INC.</t>
  </si>
  <si>
    <t>SPEC. NO.</t>
  </si>
  <si>
    <t xml:space="preserve">UNIT COST </t>
  </si>
  <si>
    <t xml:space="preserve">EXTENDED TOTAL </t>
  </si>
  <si>
    <t xml:space="preserve">UNIT COST  </t>
  </si>
  <si>
    <t xml:space="preserve">EXTENDED TOTAL  </t>
  </si>
  <si>
    <t xml:space="preserve">UNIT COST   </t>
  </si>
  <si>
    <t xml:space="preserve">EXTENDED TOTAL   </t>
  </si>
  <si>
    <t>C-100-1</t>
  </si>
  <si>
    <t>CONTRACTOR QC PROGRAM AND TESTING</t>
  </si>
  <si>
    <t>C-102-1</t>
  </si>
  <si>
    <t>EROSION CONTROL - STRAW WATTLE</t>
  </si>
  <si>
    <t>LF</t>
  </si>
  <si>
    <t>C-102-2</t>
  </si>
  <si>
    <t>EROSION CONTROL -  SILT FENCE</t>
  </si>
  <si>
    <t>C-102-3</t>
  </si>
  <si>
    <t>EROSION CONTROL -  BLANKET</t>
  </si>
  <si>
    <t>SY</t>
  </si>
  <si>
    <t>C-105-1</t>
  </si>
  <si>
    <t>MOBILIZATION / DEMOBILIZATION</t>
  </si>
  <si>
    <t>C-105-2</t>
  </si>
  <si>
    <t>CONSTRUCTION STAKING</t>
  </si>
  <si>
    <t>C-105-3</t>
  </si>
  <si>
    <t>LOW PROFILE BARRICADES</t>
  </si>
  <si>
    <t>C-105-4</t>
  </si>
  <si>
    <t>CONSTRUCTION EXIT AND HAUL ROUTE</t>
  </si>
  <si>
    <t>C-105-5</t>
  </si>
  <si>
    <t>HIGH VISIBILITY CONSTRUCTION FENCE</t>
  </si>
  <si>
    <t>P-151-1</t>
  </si>
  <si>
    <t>CLEARING AND GRUBBING</t>
  </si>
  <si>
    <t>AC</t>
  </si>
  <si>
    <t>P-152-1</t>
  </si>
  <si>
    <t>UNCLASSIFIED EXCAVATION</t>
  </si>
  <si>
    <t>CY</t>
  </si>
  <si>
    <t>P-152-2</t>
  </si>
  <si>
    <t>UNCLASSIFIED BORROW (OFF-SITE)</t>
  </si>
  <si>
    <t>P-152-3</t>
  </si>
  <si>
    <t>UNDERCUT</t>
  </si>
  <si>
    <t>P-152-4</t>
  </si>
  <si>
    <t>SHOT ROCK (24" MAX SIZE; 24" MAX THICK)</t>
  </si>
  <si>
    <t>TON</t>
  </si>
  <si>
    <t>P-209-1</t>
  </si>
  <si>
    <t>CRUSHED AGGREGATE BASE (8" THICK)</t>
  </si>
  <si>
    <t>P-403-1</t>
  </si>
  <si>
    <t>ASPHALT BASE COURSE (2" THICK)</t>
  </si>
  <si>
    <t>P-403-2</t>
  </si>
  <si>
    <t>ASPHALT SURFACE COURSE (2" THICK)</t>
  </si>
  <si>
    <t>THD-501-1</t>
  </si>
  <si>
    <t>2-FT CONCRETE APRON</t>
  </si>
  <si>
    <t>P-602-1</t>
  </si>
  <si>
    <t>PRIME COAT</t>
  </si>
  <si>
    <t>GAL</t>
  </si>
  <si>
    <t>P-603-1</t>
  </si>
  <si>
    <t>TACK COAT</t>
  </si>
  <si>
    <t>T-901,T-908-1</t>
  </si>
  <si>
    <t>SEEDING AND MULCHING</t>
  </si>
  <si>
    <t>T-904-1</t>
  </si>
  <si>
    <t>SODDING - 6' WIDE STRIP</t>
  </si>
  <si>
    <t>T-905-1</t>
  </si>
  <si>
    <t>TOPSOILING</t>
  </si>
  <si>
    <t>BASE BID TOTAL</t>
  </si>
  <si>
    <t xml:space="preserve">Difference from Engineer's Estimate: </t>
  </si>
  <si>
    <t>-</t>
  </si>
  <si>
    <t>% Difference</t>
  </si>
  <si>
    <t>BASE BID (Schedule No. 2 - T-Hangar)</t>
  </si>
  <si>
    <t>UNIT COST  2</t>
  </si>
  <si>
    <t>APPX B</t>
  </si>
  <si>
    <t>10 UNIT T-HANGAR - (COMPLETE IN PLACE)</t>
  </si>
  <si>
    <t>INSTALL EMERGENCY GENERATOR HOOKUP
&amp; BYPASS</t>
  </si>
  <si>
    <t>ALTERNATE #1 (Schedule No. 1 - Site Prep)</t>
  </si>
  <si>
    <t>15A</t>
  </si>
  <si>
    <t>16A</t>
  </si>
  <si>
    <t>17A</t>
  </si>
  <si>
    <t>19A</t>
  </si>
  <si>
    <t>20A</t>
  </si>
  <si>
    <t>ALTERNATE #1  (Schedule No. 2 - T-Hangar)</t>
  </si>
  <si>
    <t>24A</t>
  </si>
  <si>
    <t>8 UNIT T-HANGAR - (COMPLETE IN PLACE)</t>
  </si>
  <si>
    <t>BASE BID (Approach Clearing)</t>
  </si>
  <si>
    <t>DOSS BROTHERS INC.</t>
  </si>
  <si>
    <t>CLEARY CONSTRUCTION INC.</t>
  </si>
  <si>
    <t>C-102-5.1</t>
  </si>
  <si>
    <t>CONSTRUCTION ENTRANCE</t>
  </si>
  <si>
    <t>EA</t>
  </si>
  <si>
    <t>C-102-5.2</t>
  </si>
  <si>
    <t>INSTALLATION AND REMOVAL OF SILT FENCE</t>
  </si>
  <si>
    <t>C-102-5.3</t>
  </si>
  <si>
    <t>HIGH VISABILITY FENCE</t>
  </si>
  <si>
    <t>C-105</t>
  </si>
  <si>
    <t>MOBILIZATION</t>
  </si>
  <si>
    <t>P-151-4.1</t>
  </si>
  <si>
    <t>CLEARING ONLY (WETLAND AREAS)</t>
  </si>
  <si>
    <t>P-151-4.2</t>
  </si>
  <si>
    <t>P-151-4.3</t>
  </si>
  <si>
    <t>CLEARING AND GRUBBING TREES ALONG PL 1</t>
  </si>
  <si>
    <t>P-151-4.4</t>
  </si>
  <si>
    <t>CLEARING AND GRUBBING TREES ALONG PL 2</t>
  </si>
  <si>
    <t>P-151-4.6</t>
  </si>
  <si>
    <t>TREE REMOVAL ALONG PL 3</t>
  </si>
  <si>
    <t>P-151-4.7</t>
  </si>
  <si>
    <t>TREE REMOVAL ALONG PL 4</t>
  </si>
  <si>
    <t>P-151-4.8</t>
  </si>
  <si>
    <t>TREE REMOVAL NORTH OF MARIE LN</t>
  </si>
  <si>
    <t>P-151-4.9</t>
  </si>
  <si>
    <t>FENCING AND GATE REMOVAL (ALL TYPES)</t>
  </si>
  <si>
    <t>P-151-4.13</t>
  </si>
  <si>
    <t>FIELD LINE REMOVAL</t>
  </si>
  <si>
    <t>P-152-4.1</t>
  </si>
  <si>
    <t>POND REMOVAL</t>
  </si>
  <si>
    <t>T-901-5.1</t>
  </si>
  <si>
    <t>SEEDING</t>
  </si>
  <si>
    <t>T-908-5.1</t>
  </si>
  <si>
    <t>MULCHING</t>
  </si>
  <si>
    <t>BASE BID SUBTOTALS</t>
  </si>
  <si>
    <t>10% Contingency on Engineering Estimate</t>
  </si>
  <si>
    <t>BASE BID TOTALS</t>
  </si>
  <si>
    <t>ADDITIVE BID ALTERNATIVE NO. 1</t>
  </si>
  <si>
    <t>F-162-5.1</t>
  </si>
  <si>
    <t>CHAIN-LINK FENCE, 6' FABRIC HEIGHT , NO BARB WIRE</t>
  </si>
  <si>
    <t>F-162-5.2</t>
  </si>
  <si>
    <t>24' CLEAR OPENING MANUALLY OPERATED DOUBLE SWING GATE, 6' FABRIC HEIGHT</t>
  </si>
  <si>
    <t>ADDITIVE BID ALTERNATIVE SUBTOTALS</t>
  </si>
  <si>
    <t>AA1 BID TOTALS</t>
  </si>
  <si>
    <t>BASE + AA1 BID TOTAL</t>
  </si>
  <si>
    <t>T-Hangar Apron Expansion</t>
  </si>
  <si>
    <t>BASE BID (T-Hangar Apron Expansion)</t>
  </si>
  <si>
    <t>BLUFF CITY CONSTRUCTION CO.</t>
  </si>
  <si>
    <t>VUCON, LLC</t>
  </si>
  <si>
    <t>Cleary Construction Inc.</t>
  </si>
  <si>
    <t>CONSTRUCTION  SAFETY  ITEMS, (TO INCLUDE BARRIERS, CONES, ETC.), COMPLETE IN PLACE</t>
  </si>
  <si>
    <t>C-100</t>
  </si>
  <si>
    <t>CONTRACTOR QUALITY CONTROL PROGRAM (CQCP)</t>
  </si>
  <si>
    <t>C-101-5.1</t>
  </si>
  <si>
    <t>DEMOLITION / REMOVAL OF EXISTING PAVEMENT AND BASE MATERIAL TO INCLUDE HAUL OFF AND DISPOSAL OF MATERIALS</t>
  </si>
  <si>
    <t>INSTALLATION, MAINTENANCE AND REMOVAL OF ALL EROSION CONTROL MEASURES, COMPLETE IN PLACE</t>
  </si>
  <si>
    <t>C-152-4.1</t>
  </si>
  <si>
    <t>UNCLASSIFIED EXCAVATION AND EMBANKMENT</t>
  </si>
  <si>
    <t>C-152-4.2</t>
  </si>
  <si>
    <t>UNDERCUTTING, COMPLETE IN PLACE</t>
  </si>
  <si>
    <t>TDOT 303-01.01</t>
  </si>
  <si>
    <t>CRUSHED AGGREGATE BASE COURSE (LIMESTONE), COMPLETE IN PLACE</t>
  </si>
  <si>
    <t>TDOT 403-01</t>
  </si>
  <si>
    <t>EMULSIFIED ASPHALT TACK COAT, COMPLETE IN PLACE</t>
  </si>
  <si>
    <t>GALLON</t>
  </si>
  <si>
    <t>TDOT307-01.08</t>
  </si>
  <si>
    <t>ASPHALT CONC MX (PG64-22) (BPMB-HM) GR BM-2, COMPLETE IN PLACE</t>
  </si>
  <si>
    <t>TDOT 411-01.11</t>
  </si>
  <si>
    <t>ACS MIX(PG64-22) GRADING E RDWY (LIMESTONE), COMPLETE IN PLACE</t>
  </si>
  <si>
    <t>P-620-5.2a</t>
  </si>
  <si>
    <t>TAXIWAY MARKING</t>
  </si>
  <si>
    <t>SF</t>
  </si>
  <si>
    <t>P-901-5.1</t>
  </si>
  <si>
    <t>SEEDING/MULCHING/FERTILIZER</t>
  </si>
  <si>
    <t>ACRE</t>
  </si>
  <si>
    <t>T-904-5.1</t>
  </si>
  <si>
    <t>SODDING</t>
  </si>
  <si>
    <t>T-905-5.1</t>
  </si>
  <si>
    <t>STRIPPING/ TOPSOILING, COMPLETE IN PLACE</t>
  </si>
  <si>
    <t>D-701-5.1</t>
  </si>
  <si>
    <t>18" REINFORCED CONCRETE PIPE, COMPLETE IN PLACE</t>
  </si>
  <si>
    <t>D-752-5.1</t>
  </si>
  <si>
    <t>18" REINFORCED CONCRETE PIPE HEADWALL (TYPE "D"), COMPLETE IN PLACE</t>
  </si>
  <si>
    <t>D-701-5.2</t>
  </si>
  <si>
    <t>36" REINFORCED CONCRETE PIPE, COMPLETE IN PLACE</t>
  </si>
  <si>
    <t>D-752-5.2</t>
  </si>
  <si>
    <t>36" REINFORCED CONCRETE PIPE HEADWALL (TYPE "E"), COMPLETE IN PLACE</t>
  </si>
  <si>
    <t>1-1/2" WATERLINE (TO INCLUDE ALL CONNECTIONS, VALVES, CAP, ETC.), COMPLETE IN PLACE</t>
  </si>
  <si>
    <t>TRENCH DRAIN, COMPLETE IN PLACE</t>
  </si>
  <si>
    <t>D-751-5.1</t>
  </si>
  <si>
    <t>TRENCH DRAIN CATCH BASIN (NO. 11 INLET), COMPLETE IN PLACE</t>
  </si>
  <si>
    <t>GABION STONE, FOR THE 2:1 SLOPED AREAS, COMPLETE IN PLACE</t>
  </si>
  <si>
    <t>TONS</t>
  </si>
  <si>
    <t>TDOT 709-05.06</t>
  </si>
  <si>
    <t>MACHINED RIP-RAP CLASS (A-1), COMPLETE IN PLACE</t>
  </si>
  <si>
    <t>P-631-7.1</t>
  </si>
  <si>
    <t>REFINED COAL TAR EMULSION WITH ADDITIVES FOR SLURRY COAT</t>
  </si>
  <si>
    <t>ADDITIVE BID ALTERNATIVE TOTALS</t>
  </si>
  <si>
    <t>BASE + ABA BID TOTAL</t>
  </si>
  <si>
    <t>BASE BID (SECURITY FENCING)</t>
  </si>
  <si>
    <t>ENGINEERS OPINION</t>
  </si>
  <si>
    <t>LU, INC.</t>
  </si>
  <si>
    <t>STUBBS CONSTRUCTION SERVICES. LLC</t>
  </si>
  <si>
    <t>MAURY FENCE COMPANY</t>
  </si>
  <si>
    <t>McCALL COMMERCIAL FENCING INC.</t>
  </si>
  <si>
    <t>UNIT COST5</t>
  </si>
  <si>
    <t>EXTENDED TOTAL5</t>
  </si>
  <si>
    <t>UNIT COST4</t>
  </si>
  <si>
    <t>EXTENDED TOTAL4</t>
  </si>
  <si>
    <t>CONSTRUCTION EXIT, STAGING AREA, AND HAUL
ROUTE</t>
  </si>
  <si>
    <t>F-162-1</t>
  </si>
  <si>
    <t>8-FT CHAIN-LINK FENCE W/ 3-STRAND BARBED WIRE</t>
  </si>
  <si>
    <t>F-162-2</t>
  </si>
  <si>
    <t>DOUBLE MANUAL SWING GATE (16-FT OPENING)</t>
  </si>
  <si>
    <t>F-162-3</t>
  </si>
  <si>
    <t>WATER CROSSING</t>
  </si>
  <si>
    <t>T-901, T-908-1</t>
  </si>
  <si>
    <t>% DIFFERENCE FROM ENG. EST. (SUBTOTAL)</t>
  </si>
  <si>
    <t>ROGERS GROUP, INC</t>
  </si>
  <si>
    <t>CIVIL CONSTRUCTORS, LLC</t>
  </si>
  <si>
    <t>C-100-14.1</t>
  </si>
  <si>
    <t>Contractor Quality Control Program (CQCP)</t>
  </si>
  <si>
    <t>Check Dam</t>
  </si>
  <si>
    <t>Outlet Protection</t>
  </si>
  <si>
    <t>Mobilization and Demobilization</t>
  </si>
  <si>
    <t>C-105-6.2</t>
  </si>
  <si>
    <t>Bonds</t>
  </si>
  <si>
    <t>C-105-6.3</t>
  </si>
  <si>
    <t>Construction Layout</t>
  </si>
  <si>
    <t>TN-202.10</t>
  </si>
  <si>
    <t>Miscellaneous Demolition</t>
  </si>
  <si>
    <t>TN-203.09-1</t>
  </si>
  <si>
    <t>Pavement Subgrade Preparation</t>
  </si>
  <si>
    <t>TN-203.09-2</t>
  </si>
  <si>
    <t>In-Place Embankment from Off-Site Sources</t>
  </si>
  <si>
    <t>TN-707.06</t>
  </si>
  <si>
    <t>Removal of Fence</t>
  </si>
  <si>
    <t>TN-303.15</t>
  </si>
  <si>
    <t>Crushed Aggregate Base Course</t>
  </si>
  <si>
    <t>TN-307.09</t>
  </si>
  <si>
    <t>Bituminous Plant Mix Base (307-BM)</t>
  </si>
  <si>
    <t>TN-402.10</t>
  </si>
  <si>
    <t>Emulsified Asphalt Prime Coat</t>
  </si>
  <si>
    <t>TN-403.07</t>
  </si>
  <si>
    <t>Emulsified Asphalt Tack Coat</t>
  </si>
  <si>
    <t>TN-411.10</t>
  </si>
  <si>
    <t>Asphalt Surface Course (411-E)</t>
  </si>
  <si>
    <t>TN-607.13-1</t>
  </si>
  <si>
    <t>15" Reinforced Concrete Storm Pipe (RCP)</t>
  </si>
  <si>
    <t>TN-607.13-2</t>
  </si>
  <si>
    <t>18" Reinforced Concrete Storm Pipe (RCP)</t>
  </si>
  <si>
    <t>TN-611.13-1</t>
  </si>
  <si>
    <t>Storm Drainage Catch Basin (TDOT Dwg. D-CB-12P)</t>
  </si>
  <si>
    <t>TN-611.13-2</t>
  </si>
  <si>
    <t>Storm Drainage Manhole (TDOT Dwg. D-MH-2)</t>
  </si>
  <si>
    <t>TN-611.13-3</t>
  </si>
  <si>
    <t>Storm Drainage Headwall (15")</t>
  </si>
  <si>
    <t>TN-611.13-4</t>
  </si>
  <si>
    <t>Storm Drainage Headwall (24")</t>
  </si>
  <si>
    <t>TN-611.13-5</t>
  </si>
  <si>
    <t>80% TSS Removal Water Quality Unit and Spliter (Complete System)</t>
  </si>
  <si>
    <t>TN-702.13-1</t>
  </si>
  <si>
    <t>Concrete Curb</t>
  </si>
  <si>
    <t>TN-702.13-2</t>
  </si>
  <si>
    <t>Concrete Parking Blocks</t>
  </si>
  <si>
    <t>TN-705.09</t>
  </si>
  <si>
    <t>Traditional Guardrail Along Back of Parking Lot</t>
  </si>
  <si>
    <t>TN-705.10</t>
  </si>
  <si>
    <t>Ornamental Chain Barier Separating Road</t>
  </si>
  <si>
    <t>TN-709.12</t>
  </si>
  <si>
    <t>Class A-1 Rip-Rap with Geotextile Fabric</t>
  </si>
  <si>
    <t>TN-712.10</t>
  </si>
  <si>
    <t>Temporary Traffic Control</t>
  </si>
  <si>
    <t>TN-713.07-1</t>
  </si>
  <si>
    <t>Roadway/Parking Signs &amp; Poles</t>
  </si>
  <si>
    <t>TN-713.07-2</t>
  </si>
  <si>
    <t>Roadway/Parking Signs Relocation</t>
  </si>
  <si>
    <t>TN-714.21-1</t>
  </si>
  <si>
    <t>Concrete Encased 2" Conduit</t>
  </si>
  <si>
    <t>TN-714.21-2</t>
  </si>
  <si>
    <t>LED Double Light Fixture with Pole and Foundation</t>
  </si>
  <si>
    <t>TN-714.21-3</t>
  </si>
  <si>
    <t>Electrical Handhole, Traffic Rated</t>
  </si>
  <si>
    <t>TN-716.09-1</t>
  </si>
  <si>
    <t>Pavement Markings - Crosswalks</t>
  </si>
  <si>
    <t>TN-716.09-2</t>
  </si>
  <si>
    <t>Pavement Markings - Parking Stalls</t>
  </si>
  <si>
    <t>TN-716.09-3</t>
  </si>
  <si>
    <t>Pavement Markings - Stop Bars</t>
  </si>
  <si>
    <t>TN-716.09-4</t>
  </si>
  <si>
    <t>Pavement Markings - Handicap Symbol</t>
  </si>
  <si>
    <t>TN-802.16-1</t>
  </si>
  <si>
    <t>Ground Cover Hardwood Mulch, 6" Depth</t>
  </si>
  <si>
    <t>TN-802.16-2</t>
  </si>
  <si>
    <t>18" - 24" Densiformis Yew Bush</t>
  </si>
  <si>
    <t>TN-803.12</t>
  </si>
  <si>
    <t>Topsoiling &amp; Sodding</t>
  </si>
  <si>
    <t>SCHEDULE #1 BASE BID TOTALS</t>
  </si>
  <si>
    <t>TN-203.09-3</t>
  </si>
  <si>
    <t>Rock Removal/Excavation</t>
  </si>
  <si>
    <t>32 32 16 (1.02)</t>
  </si>
  <si>
    <t>Precast Modular Block Retaining Wall</t>
  </si>
  <si>
    <t>2' Concrete Swale</t>
  </si>
  <si>
    <t>TN-607.13-3</t>
  </si>
  <si>
    <t>24" Reinforced Concrete Storm Pipe (RCP)</t>
  </si>
  <si>
    <t>Traditional Guardrail or Barrier on Retaining Wall</t>
  </si>
  <si>
    <t>SCHEDULE #2 BASE BID TOTALS</t>
  </si>
  <si>
    <t>SCHEDULE #3 BASE BID TOTALS</t>
  </si>
  <si>
    <t>ADDITITIVE ALTERNATIVE #1 (Partial Resurfacing of Tune Airport Drive)</t>
  </si>
  <si>
    <t>M-101-4.2</t>
  </si>
  <si>
    <t>Maintenance of Traffic</t>
  </si>
  <si>
    <t>TN-415.06</t>
  </si>
  <si>
    <t>Pavement Milling</t>
  </si>
  <si>
    <t>Pavement Markings - Centerline</t>
  </si>
  <si>
    <t>ADDITIVE ALT. BID TOTALS</t>
  </si>
  <si>
    <t>SCHEDULE #1 (Apron Expansion)</t>
  </si>
  <si>
    <t>TPM, INC.</t>
  </si>
  <si>
    <t>C-100-2</t>
  </si>
  <si>
    <t>C-100-3</t>
  </si>
  <si>
    <t>QUALITY CONTROL TESTING</t>
  </si>
  <si>
    <t>SILT FENCE</t>
  </si>
  <si>
    <t>P-101-1</t>
  </si>
  <si>
    <t>ASPHALT MILLING</t>
  </si>
  <si>
    <t>P-101-2</t>
  </si>
  <si>
    <t>DEMOLITION</t>
  </si>
  <si>
    <t>SHOT ROCK FILL</t>
  </si>
  <si>
    <t>CRUSHED AGGREGATE BASE COURSE (THICKNESS
VARIES)</t>
  </si>
  <si>
    <t>P-401-1</t>
  </si>
  <si>
    <t>BITUMINOUS ASPHALT SURFACE COURSE - HMA (2"
THICK, AGG. GRADATION 2)</t>
  </si>
  <si>
    <t>P-401-2</t>
  </si>
  <si>
    <t>BITUMINOUS ASPHALT BINDER COURSE - HMA (3"
THICK, AGG. GRADATION 1)</t>
  </si>
  <si>
    <t>REINFORCED PORTLAND CEMENT CONCRETE
PAVEMENT (8" THICK)</t>
  </si>
  <si>
    <t>D-705-1</t>
  </si>
  <si>
    <t>UNDERDRAIN PIPE (8" PVC SCH 80)</t>
  </si>
  <si>
    <t>D-705-2</t>
  </si>
  <si>
    <t>UNDERDRAIN END TREATMENT</t>
  </si>
  <si>
    <t>D-751-1</t>
  </si>
  <si>
    <t>CONCRETE CATCH BASIN WITH GRATE</t>
  </si>
  <si>
    <t>SODDING (6-FT WIDE)</t>
  </si>
  <si>
    <t>L-108-1</t>
  </si>
  <si>
    <t>1/C, #8 AWG, 5kV, L-824C CABLE</t>
  </si>
  <si>
    <t>L-108-2</t>
  </si>
  <si>
    <t>#6 AWG BSDC CABLE COUNTERPOISE</t>
  </si>
  <si>
    <t>L-108-3</t>
  </si>
  <si>
    <t>5/8" x 10' COUNTERPOISE GND ROD/CONNECTION</t>
  </si>
  <si>
    <t>L-108-4</t>
  </si>
  <si>
    <t>TRENCHING AND BACKFILL  - RECONNECTING WIND
CONE</t>
  </si>
  <si>
    <t>L-110-1</t>
  </si>
  <si>
    <t>1 WAY ELECTRICAL DUCTBANK</t>
  </si>
  <si>
    <t>L-110-2</t>
  </si>
  <si>
    <t>ELECTRICAL PULL BOX WITH COVER</t>
  </si>
  <si>
    <t>SCHEDULE #1  TOTALS</t>
  </si>
  <si>
    <t>% DIFFERENCE FROM ENG. EST.</t>
  </si>
  <si>
    <t>N/A</t>
  </si>
  <si>
    <t>SCHEDULE #2 (Fuel Farm and Concrete Tank Pad)</t>
  </si>
  <si>
    <t>THD-303-1</t>
  </si>
  <si>
    <t>CRUSHED AGGREGATE BASE COURSE (6" THICK)</t>
  </si>
  <si>
    <t>PORTLAND CEMENT CONCRETE PAVEMENT (8" THICK)</t>
  </si>
  <si>
    <t>APPENDIX A</t>
  </si>
  <si>
    <t>ABOVE GROUND FUEL STORAGE TANK &amp; DISPENSING SYSTEM       (1 - 12,000 GAL. AVGAS TANK) - COMPLETE
IN PLACE</t>
  </si>
  <si>
    <t>ABOVE GROUND FUEL STORAGE TANK &amp; DISPENSING SYSTEM      (1 - 12,000 GAL. JET "A" TANK ) -
COMPLETE IN PLACE</t>
  </si>
  <si>
    <t>SELF SERVICE FUELING TERMINAL WITH METAL SHED</t>
  </si>
  <si>
    <t>SCHEDULE #2 TOTALS</t>
  </si>
  <si>
    <t>PROJECT TOTAL (SCHEDULE 1 + SCHEDULE 2)</t>
  </si>
  <si>
    <t>BASE BID (Airfield Sign Replacement)</t>
  </si>
  <si>
    <t>GUARDIAN</t>
  </si>
  <si>
    <t>WADE ELECTRIC</t>
  </si>
  <si>
    <t>STANSELL</t>
  </si>
  <si>
    <t xml:space="preserve">ESTIMATED QUANTITY </t>
  </si>
  <si>
    <t xml:space="preserve">ESTIMATED QUANTITY  </t>
  </si>
  <si>
    <t xml:space="preserve">ESTIMATED QUANTITY   </t>
  </si>
  <si>
    <t>1-MODULE SIGN, L-858 (LED), INTERNALLY LIGHTED, MEDIUM INTENSITY, SIZE 1, STYLE 2, CLASS 1, COMPLETE IN PLACE</t>
  </si>
  <si>
    <t>L-125-5.2</t>
  </si>
  <si>
    <t>2-MODULE SIGN, L-858 (LED), INTERNALLY LIGHTED, MEDIUM INTENSITY, SIZE 1, STYLE 2, CLASS 1, COMPLETE IN PLACE</t>
  </si>
  <si>
    <t>L-125-5.3</t>
  </si>
  <si>
    <t>3-MODULE SIGN, L-858 (LED), INTERNALLY LIGHTED, MEDIUM INTENSITY, SIZE 1, STYLE 2, CLASS 1, COMPLETE IN PLACE</t>
  </si>
  <si>
    <t>L-125-5.4</t>
  </si>
  <si>
    <t>4-MODULE SIGN, L-858 (LED), INTERNALLY LIGHTED, MEDIUM INTENSITY, SIZE 1, STYLE 2, CLASS 1, COMPLETE IN PLACE</t>
  </si>
  <si>
    <t>L-125-5.5</t>
  </si>
  <si>
    <t>2-MODULE SIGN, L-858 (LED), INTERNALLY LIGHTED, MEDIUM INTENSITY, SIZE 1, STYLE 3, CLASS 1, COMPLETE IN PLACE</t>
  </si>
  <si>
    <t>PLANS</t>
  </si>
  <si>
    <t>SQUARE PARTS</t>
  </si>
  <si>
    <t>EXISITING SIGN REMOVAL (INCLUDING CONCRETE PAD)</t>
  </si>
  <si>
    <t>BASE BID (100' Runway Reconstruction)</t>
  </si>
  <si>
    <t>FORD CONSTRUCTION</t>
  </si>
  <si>
    <t>DELTA CONTRACTING CO.</t>
  </si>
  <si>
    <t>Cleary Construction, Inc.</t>
  </si>
  <si>
    <t>AIRFIELD BARRICADES</t>
  </si>
  <si>
    <t>TEMPORARY RUNWAY CLOSURE W/ LIGHTED X'S</t>
  </si>
  <si>
    <t>IMPLEMENTATION OF DISPLACED THRESHOLD PLAN</t>
  </si>
  <si>
    <t>CONTRACTOR QUALITY CONTROL PROGRAM (QCQP)</t>
  </si>
  <si>
    <t>EROSION CONTROL - SILT FENCE (INSTALLATION &amp; REMOVAL)</t>
  </si>
  <si>
    <t>EROSION CONTROL - CHECK DAM (INSTALLATION &amp; REMOVAL)</t>
  </si>
  <si>
    <t>EROSION CONTROL - CONSTRUCTION ENTRANCE (INSTALLATION &amp; REMOVAL)</t>
  </si>
  <si>
    <t>C-102-5.4</t>
  </si>
  <si>
    <t>EROSION CONTROL - INLET PROTECTION (INSTALLATION &amp; REMOVAL)</t>
  </si>
  <si>
    <t>C-102-5.5</t>
  </si>
  <si>
    <t>Erosion Control - Temporary Sediment Basin (Installation &amp; Removal)</t>
  </si>
  <si>
    <t>Erosion Control - Temporary Diversion Berm (Installation &amp; Removal)</t>
  </si>
  <si>
    <t>P-101-5.1</t>
  </si>
  <si>
    <t>PAVEMENT REMOVAL</t>
  </si>
  <si>
    <t>P-152-4.2</t>
  </si>
  <si>
    <t>UNDERCUT EXCAVATION</t>
  </si>
  <si>
    <t>P-152-4.3</t>
  </si>
  <si>
    <t>BORROW EXCAVATION</t>
  </si>
  <si>
    <t>P-220-6.1</t>
  </si>
  <si>
    <t>CEMENT TREATED SOIL BASE COURSE (12" COMPACTED THICKNESS)</t>
  </si>
  <si>
    <t>P-401-8.1</t>
  </si>
  <si>
    <t>BITUMINOUS ASPHALT SURFACE COURSE - RUNWAY (GRADATION 2, 1.5" COMPACTED THICKNESS)</t>
  </si>
  <si>
    <t>P-401-8.2</t>
  </si>
  <si>
    <t>BITUMINOUS ASPHALT BINDER COURSE - RUNWAY (GRADATION 1, 2.5" COMPACTED THICKNESS)</t>
  </si>
  <si>
    <t>P-401-8.3</t>
  </si>
  <si>
    <t>BITUMINOUS ASPHALT SURFACE COURSE - TAXIWAY OVERLAY (GRADATION 2, 1.5" COMPACTED THICKNESS)</t>
  </si>
  <si>
    <t>P-407-7.1</t>
  </si>
  <si>
    <t>ASPHALT TREATED PERMEABLE BASE COURSE (4" COMPACTED THICKNESS)</t>
  </si>
  <si>
    <t>P-602-5.1</t>
  </si>
  <si>
    <t>EMULSIFIED ASPHALT PRIME COAT</t>
  </si>
  <si>
    <t>P-603-5.1</t>
  </si>
  <si>
    <t>EMULSIFIED ASPHALT TACK COAT</t>
  </si>
  <si>
    <t>P-620-5.1</t>
  </si>
  <si>
    <t>TEMPORARY PAVEMENT MARKING, NON-REFLECTIVE WHITE</t>
  </si>
  <si>
    <t>P-620-5.2</t>
  </si>
  <si>
    <t>TEMPORARY PAVEMENT MARKING, NON-REFLECTIVE YELLOW</t>
  </si>
  <si>
    <t>P-620-5.3</t>
  </si>
  <si>
    <t>PERMANENT PAVEMENT MARKING, REFLECTIVE WHITE</t>
  </si>
  <si>
    <t>P-620-5.4</t>
  </si>
  <si>
    <t>PERMANENT PAVEMENT MARKING, REFLECTIVE YELLOW</t>
  </si>
  <si>
    <t>P-620-5.5</t>
  </si>
  <si>
    <t>PERMANENT PAVEMENT MARKING, REFLECTIVE RED</t>
  </si>
  <si>
    <t>P-620-5.6</t>
  </si>
  <si>
    <t>PERMANENT PAVEMENT MARKING, BLACK</t>
  </si>
  <si>
    <t>P-621-5.1</t>
  </si>
  <si>
    <t>SAWCUT GROOVING</t>
  </si>
  <si>
    <t>15" REINFORCED CONCRETE PIPE, CLASS III</t>
  </si>
  <si>
    <t>24" REINFORCED CONCRETE PIPE, CLASS III</t>
  </si>
  <si>
    <t>D-705-5.1</t>
  </si>
  <si>
    <t>6" PERFORATED HDPE PIPE COMPLETE (INCLUDING POROUS BACKFILL AND FILTER FABRIC)</t>
  </si>
  <si>
    <t>D-705-5.2</t>
  </si>
  <si>
    <t>6" SOLID HDPE PIPE COMPLETE (INCLUDING POROUS BACKFILL AND FILTER FABRIC)</t>
  </si>
  <si>
    <t>D-705-5.3</t>
  </si>
  <si>
    <t>LATERAL OUTFALL</t>
  </si>
  <si>
    <t>CATCH BASIN WITH GRATE INLET (D-CB-42RB)</t>
  </si>
  <si>
    <t>D-751-5.2</t>
  </si>
  <si>
    <t>LOWER EXISTING INLET</t>
  </si>
  <si>
    <t>D-751-5.3</t>
  </si>
  <si>
    <t>RAISE EXISTING INLET</t>
  </si>
  <si>
    <t>24" HEADWALL</t>
  </si>
  <si>
    <t>HYDRO-SEEDING</t>
  </si>
  <si>
    <t>TOPSOIL (OBTAINED ON SITE)</t>
  </si>
  <si>
    <t>CHAIN-LINK FENCE</t>
  </si>
  <si>
    <t>TDOT 303D</t>
  </si>
  <si>
    <t>MINERAL AGGREGATE TYPE A BASE (10" COMPACTED THICKNESS)</t>
  </si>
  <si>
    <t>TDOT 411D</t>
  </si>
  <si>
    <t>ACS MIX (PG6422), GRADING D (2.5" COMPACTED THICKNESS)</t>
  </si>
  <si>
    <t>L-108-5.1</t>
  </si>
  <si>
    <t>No. 8 AWG, 5 kV, L-824, Type C CABLE, INSTALLED IN TRENCH, DUCT BANK OR CONDUIT</t>
  </si>
  <si>
    <t>L-108-5.2</t>
  </si>
  <si>
    <t>No. 4 AWG, 600 V, THHN/THWN-2 CABLE, INSTALLED IN TRENCH, DUCT BANK OR CONDUIT</t>
  </si>
  <si>
    <t>L-108-5.3</t>
  </si>
  <si>
    <t>No. 6 AWG, SOLID, BARE COPPER COUNTERPOISE WIRE, INSTALLED ABOVE THE DUCT BANK OR CONDUIT, INCLUDING CONNECTION/TERMINATIONS AND GROUND RODS</t>
  </si>
  <si>
    <t>L-108-5.4</t>
  </si>
  <si>
    <t>No. 6 AWG, INSULATED, STRANDED EQUIPMENT GROUND, INSTALLED IN DUCT BANK OR CONDUIT</t>
  </si>
  <si>
    <t>L-110-5.1</t>
  </si>
  <si>
    <t>EXISTING DUCT BANK EXTENSION</t>
  </si>
  <si>
    <t>L-110-5.2</t>
  </si>
  <si>
    <t>NON-ENCASED, ELECTRICAL CONDUIT, 1-WAY, 2-INCH PVC</t>
  </si>
  <si>
    <t>L-110-5.3</t>
  </si>
  <si>
    <t>CONCRETE ENCASED, ELECTRICAL DUCT, 1-WAY, 2-INCH PVC</t>
  </si>
  <si>
    <t>L-115-5.1</t>
  </si>
  <si>
    <t>ELECTRICAL JUNCTION CAN, L-867, CLASS 1, SIZE B</t>
  </si>
  <si>
    <t>L-115-5.2</t>
  </si>
  <si>
    <t>ELECTRICAL JUNCTION CAN, L-867, CLASS 1, SIZE D</t>
  </si>
  <si>
    <t>RUNWAY EDGE LIGHT, L-862(L), BASE MOUNTED, HIGH INTENSITY (LED), COMPLETE IN PLACE</t>
  </si>
  <si>
    <t>RUNWAY EDGE LIGHT, L-850C(L), FLUSH MOUNTED, HIGH INTENSITY (LED), COMPLETE IN PLACE</t>
  </si>
  <si>
    <t>RUNWAY THRESHOLD LIGHT, L-826E(L), BASE MOUNTED, HIGH INTENSITY (LED), COMPLETE IN PLACE</t>
  </si>
  <si>
    <t>TAXIWAY EDGE LIGHT, L-861T(L), BASE MOUNTED, MEDIUM INTENSITY (LED),
COMPLETE IN PLACE</t>
  </si>
  <si>
    <t>1-MODULE SIGN, L-858 (LED), INTERNALLY LIGHTED, MEDIUM INTENSITY, SIZE
4, STYLE 3, CLASS 1, COMPLETE IN PLACE</t>
  </si>
  <si>
    <t>L-125-5.6</t>
  </si>
  <si>
    <t>1-MODULE SIGN, L-858 (LED), INTERNALLY LIGHTED, MEDIUM INTENSITY, SIZE
1, STYLE 2, CLASS 1, COMPLETE IN PLACE</t>
  </si>
  <si>
    <t>L-125-5.7</t>
  </si>
  <si>
    <t>2-MODULE SIGN, L-858 (LED), INTERNALLY LIGHTED, MEDIUM INTENSITY, SIZE
1, STYLE 2, CLASS 1, COMPLETE IN PLACE</t>
  </si>
  <si>
    <t>L-125-5.8</t>
  </si>
  <si>
    <t>2-MODULE SIGN, L-858 (LED), INTERNALLY LIGHTED, MEDIUM INTENSITY, SIZE
1, STYLE 3, CLASS 1, COMPLETE IN PLACE</t>
  </si>
  <si>
    <t>L-125-5.9</t>
  </si>
  <si>
    <t>3-MODULE SIGN, L-858 (LED), INTERNALLY LIGHTED, MEDIUM INTENSITY, SIZE
1, STYLE 2, CLASS 1, COMPLETE IN PLACE</t>
  </si>
  <si>
    <t>L-125-5.10</t>
  </si>
  <si>
    <t>3-MODULE SIGN, L-858 (LED), INTERNALLY LIGHTED, MEDIUM INTENSITY, SIZE
1, STYLE 3, CLASS 1, COMPLETE IN PLACE</t>
  </si>
  <si>
    <t>L-125-5.11</t>
  </si>
  <si>
    <t>PRECISION APPROACH PATH INDICATOR, L-880(L), STYLE A, CLASS I, COMPLETE IN PLACE</t>
  </si>
  <si>
    <t>CONSTANT CURRENT REGULATOR, L-828, 7.5kW, THYRISTOR, CLASS 1, STYLE 2, COMPLETE IN PLACE</t>
  </si>
  <si>
    <t>ELECTRICAL SPARE PARTS</t>
  </si>
  <si>
    <t>EXISTING ELECTRICAL DEMOLITION</t>
  </si>
  <si>
    <t>DEMOLISH THRESHOLD BAR</t>
  </si>
  <si>
    <t>INSTALL NEW THRESHOLD BAR WITH 13 CANS</t>
  </si>
  <si>
    <t>EMT MAST STATION</t>
  </si>
  <si>
    <t>MALS MG-20 MAST STATION</t>
  </si>
  <si>
    <t>2" CONDUIT INSTALLED IN GROUND 36" DEEP</t>
  </si>
  <si>
    <t>3" CONDUIT INSTALLED IN GROUND 36" DEEP</t>
  </si>
  <si>
    <t>#1/0 AWGBARE COPPER</t>
  </si>
  <si>
    <t>1/C #250 KCMIL CABLE INSTALLED IN CONDUIT</t>
  </si>
  <si>
    <t>1/C #3 CABLE INSTALLED IN CONDUIT</t>
  </si>
  <si>
    <t>1/C #4 CABLE INSTALLED IN CONDUIT</t>
  </si>
  <si>
    <t>#2 BSDC</t>
  </si>
  <si>
    <t>#16 GREEN GROUND</t>
  </si>
  <si>
    <t>#4 AWB BC</t>
  </si>
  <si>
    <t>BASE BID (ATCT Upgrades):</t>
  </si>
  <si>
    <t>GRINDER, TABER &amp; GRINDER</t>
  </si>
  <si>
    <t>SPECS</t>
  </si>
  <si>
    <t>FAA Related Electronic Equipment Replacement</t>
  </si>
  <si>
    <t>07 5400</t>
  </si>
  <si>
    <t>Thermoplastic Membrane Roofing</t>
  </si>
  <si>
    <t>08 8000</t>
  </si>
  <si>
    <t>Glazing-Fully Tempered Glass</t>
  </si>
  <si>
    <t>09 5100</t>
  </si>
  <si>
    <t>Acoustical Ceilings</t>
  </si>
  <si>
    <t>09 6813</t>
  </si>
  <si>
    <t>Tile Carpeting</t>
  </si>
  <si>
    <t>12 2400</t>
  </si>
  <si>
    <t>Window Shading</t>
  </si>
  <si>
    <t>HVAC Ductwork Insulation</t>
  </si>
  <si>
    <t>Access Control and Camera Upgrades</t>
  </si>
  <si>
    <t>Glazing - Laminated Outside Glazing (Alternate 1)</t>
  </si>
  <si>
    <t>FAA Related Electronic Equipment Relocation (Additive Alternate 2)</t>
  </si>
  <si>
    <t>No Bid</t>
  </si>
  <si>
    <t>#VALUE!</t>
  </si>
  <si>
    <t>TOTAL WITH RELOCATION OF EQUIPMENT ALTERNATE:</t>
  </si>
  <si>
    <t>TOTAL WITH GLAZING ALTERNATE:</t>
  </si>
  <si>
    <t>TOTAL WITH RELOCATION OF EQUIPMENT &amp; GLAZING ALTERNATE:</t>
  </si>
  <si>
    <t>Difference from Engineer's Estimate ($):</t>
  </si>
  <si>
    <t>Difference from Engineer's Estimate (%):</t>
  </si>
  <si>
    <t>BASE BID (CORPORATE HANGAR ACCESS &amp; SECURITY FENCING)</t>
  </si>
  <si>
    <t>DELTA</t>
  </si>
  <si>
    <t>FORD</t>
  </si>
  <si>
    <t>GTG</t>
  </si>
  <si>
    <t>VUCON</t>
  </si>
  <si>
    <t>XCAVATORS</t>
  </si>
  <si>
    <t>UNIT COST6</t>
  </si>
  <si>
    <t>EXTENDED TOTAL6</t>
  </si>
  <si>
    <t>C-102-5.1a</t>
  </si>
  <si>
    <t>TEMPORARY SEEDING &amp; MULCHING</t>
  </si>
  <si>
    <t>C-102-5.1b</t>
  </si>
  <si>
    <t>C-102-5.1c</t>
  </si>
  <si>
    <t>INLET PROTECTION</t>
  </si>
  <si>
    <t>C-102-5.1d</t>
  </si>
  <si>
    <t>OUTLET PROTECTION</t>
  </si>
  <si>
    <t>MINERAL AGGREGATE TYPE A BASE COURSE (10" COMPACTED
THICKNESS)</t>
  </si>
  <si>
    <t>ACS MIX (PG64-22) GRADING D (2.5-INCH COMPACTED
THICKNESS</t>
  </si>
  <si>
    <t>TDOT 402</t>
  </si>
  <si>
    <t>BITUMINOUS MATERIAL FOR PRIME COAT (PC)</t>
  </si>
  <si>
    <t>TDOT 501</t>
  </si>
  <si>
    <t>TDOT 501 PCC PAVEMENT (REINFORCED) 6"</t>
  </si>
  <si>
    <t>CATCH BASIN WITH GRATE INLET (24" X 24")</t>
  </si>
  <si>
    <t>15" HEADWALL</t>
  </si>
  <si>
    <t>CHAIN-LINK FENCE (BASE BID)</t>
  </si>
  <si>
    <t>AUTOMATIC DRIVEWAY GATE (20 FEET WIDE)</t>
  </si>
  <si>
    <t>F-162-5.3</t>
  </si>
  <si>
    <t>PERSONNEL GATE</t>
  </si>
  <si>
    <t>TDOT 701</t>
  </si>
  <si>
    <t>CONCRETE SIDEWALK (4")</t>
  </si>
  <si>
    <t>TDOT 716</t>
  </si>
  <si>
    <t>PAINTED PAVEMENT MARKINGS (4" LINE)</t>
  </si>
  <si>
    <t>PARKING STOP</t>
  </si>
  <si>
    <t>6" Curbing</t>
  </si>
  <si>
    <t>ACCESSIBLE PARKING STRIPING</t>
  </si>
  <si>
    <t>ACCESSIBLE PARKING SIGNS</t>
  </si>
  <si>
    <t>VULCAN CONSTR. MATERIALS, LLC</t>
  </si>
  <si>
    <t>JONES BROS. CONTRACTORS, LLC</t>
  </si>
  <si>
    <t>Contractor Quality Control Program</t>
  </si>
  <si>
    <t>L.S.</t>
  </si>
  <si>
    <t>Inspection and Reporting to TDEC and Maintenance of Statewide NPDES General Permit Coverage for Construction Site Stormwater Runoff</t>
  </si>
  <si>
    <t>Install and Maintain 20-ft Ditch Wattle, and Remove upon Completion of Project</t>
  </si>
  <si>
    <t>EA.</t>
  </si>
  <si>
    <t>Install and Maintain Inlet Protection and Remove upon Completion of Project</t>
  </si>
  <si>
    <t>Stone Filter Ring for Culvert Headwall</t>
  </si>
  <si>
    <t>Install and Maintain Silt Fence, and Remove upon Completion of Project</t>
  </si>
  <si>
    <t>L.F.</t>
  </si>
  <si>
    <t>C-102-5.6</t>
  </si>
  <si>
    <t>Install Double Net Straw Matting</t>
  </si>
  <si>
    <t>S.Y.</t>
  </si>
  <si>
    <t>C-102-5.7</t>
  </si>
  <si>
    <t>Temporary Seeding with Mulch</t>
  </si>
  <si>
    <t>C-102-5.8</t>
  </si>
  <si>
    <t>Temporary Diversion Berm</t>
  </si>
  <si>
    <t>C-102-5.9</t>
  </si>
  <si>
    <t>Temporary Diversion Ditch</t>
  </si>
  <si>
    <t>C-102-5.10</t>
  </si>
  <si>
    <t>Temporary Sediment Trap</t>
  </si>
  <si>
    <t>As-Built Drawings</t>
  </si>
  <si>
    <t>M-101-4.1</t>
  </si>
  <si>
    <t>Deployment, Maintenance, Fueling, and Return of L-893(L) Portable Lighted Runway Closure Markers Supplied by Owner</t>
  </si>
  <si>
    <t>M-101-4.3</t>
  </si>
  <si>
    <t>Low-Profile Barricade</t>
  </si>
  <si>
    <t>P-101-5.1.1</t>
  </si>
  <si>
    <t>Asphalt Shoulder Pavement Removal to 12-inch Min. Depth, Including Placement in Project Pavement or Embankment Areas</t>
  </si>
  <si>
    <t>P-101-5.1.2</t>
  </si>
  <si>
    <t>Asphalt Shoulder Pavement Removal to 12-inch Min. Depth, Including Off-site Disposal</t>
  </si>
  <si>
    <t>P-101-5.2</t>
  </si>
  <si>
    <t xml:space="preserve">Composite Shoulder Removal of Concrete Pavement, 7- to 8- inch Slab Thickness with Variable Thickness Asphalt Overlay 0-2.5inches, to Bottom of 7- to 8- inch PCC Slab, Including Off-site Disposal </t>
  </si>
  <si>
    <t>P-101-5.3</t>
  </si>
  <si>
    <t xml:space="preserve">Composite Runway Pavement Removal of Concrete Pavement, 7- to 8- inch Slab Thickness with Variable Thickness Asphalt Overlay 2.5-6 inches, to Bottom of 7- to 8- inch PCC Slab, Including Off-site Disposal </t>
  </si>
  <si>
    <t>P-101-5.4</t>
  </si>
  <si>
    <t>Preparation of Existing Asphalt Runway Pavement Surface for Creation of a Recycled Pavement Base Layer, including Milling, Fine Grading of deposited Millings, or Fine grading of Removed and embanked Asphalt Shoulder Pavement Materials</t>
  </si>
  <si>
    <t>P-101-5.5</t>
  </si>
  <si>
    <t>Variable Depth 0.5-inch to 2-inch Asphalt Surface Milling for Smooth Tie-in of New Pavement Surface</t>
  </si>
  <si>
    <t>Clearing and Grubbing</t>
  </si>
  <si>
    <t>Unclassified Excavation to On-Airport Embankment Areas</t>
  </si>
  <si>
    <t>C.Y.</t>
  </si>
  <si>
    <t>Undercut Excavation of Yielding Materials to Off-Site Disposal, Including Backfill from Project Site Sources</t>
  </si>
  <si>
    <t xml:space="preserve">Unclassified Excavation to Off-Site Disposal </t>
  </si>
  <si>
    <t>P-152-4.4</t>
  </si>
  <si>
    <t>Topsoil Stripping to On-Site Stockpile</t>
  </si>
  <si>
    <t>P-207-5.1</t>
  </si>
  <si>
    <t>In-Place Full Depth Recycled (FDR) Asphalt Aggregate Base Course, 10-inch Depth</t>
  </si>
  <si>
    <t>P-207-5.2</t>
  </si>
  <si>
    <t xml:space="preserve">Cement </t>
  </si>
  <si>
    <t>P-401-8.1.1a</t>
  </si>
  <si>
    <t>Asphalt Surface Course, 2" Lifts, 3/4-inch Max. Aggregate Size, PG 70-22</t>
  </si>
  <si>
    <t>TDOT 303.01</t>
  </si>
  <si>
    <t>Mineral Aggregate Base, Type A, Gradation D, for Cart Path and Perimeter Road</t>
  </si>
  <si>
    <t>TDOT 307.01</t>
  </si>
  <si>
    <t>Bituminous Plant Mix Base, Gradation BM2, for Perimeter Roads</t>
  </si>
  <si>
    <t>TDOT 411.01</t>
  </si>
  <si>
    <t>Asphaltic Concrete Surface, Gradation D, for Cart Path and Perimeter Roads</t>
  </si>
  <si>
    <t xml:space="preserve">Airfield Markings, White, Yellow or Red, with Reflective Media </t>
  </si>
  <si>
    <t>S.F.</t>
  </si>
  <si>
    <t xml:space="preserve">Airfield Markings, Black , without Reflective Media </t>
  </si>
  <si>
    <t xml:space="preserve">Temporary Airfield Markings White or Yellow, without Reflective Media </t>
  </si>
  <si>
    <t>Grooving</t>
  </si>
  <si>
    <t>Airport Operations Area Security Fence, 6-ft Chain Link Fence Fabric Height, with 3-strand Barbed Wire</t>
  </si>
  <si>
    <t xml:space="preserve">Golf Course Perimeter Fence, 6-ft Link Fence Fabric Height </t>
  </si>
  <si>
    <t>Gate in Golf Course Perimeter Fence, 12-ft opening, Manually Operated, Double-Leaved Swing Gate, with Lock</t>
  </si>
  <si>
    <t>F-162-5.4</t>
  </si>
  <si>
    <t>Install Posts at Approx. 13.5-foot Spacing for Post-and-Cable System along South Side of Hercules Drive, Including Salvage and Reinstallation of Cable through New Posts, with Cuts and Splices for Reconnection to Existing Cable</t>
  </si>
  <si>
    <t>Class lll, 12-inch Diameter Reinforced Concrete Pipe, Including Excavation, Pipe Bedding, and  Backfill</t>
  </si>
  <si>
    <t>Class lll, 18-inch Diameter Reinforced Concrete Pipe, Including Excavation, Pipe Bedding, and  Backfill</t>
  </si>
  <si>
    <t>D-701-5.3</t>
  </si>
  <si>
    <t>Class lll, 24-inch Diameter Reinforced Concrete Pipe, Including Excavation, Pipe Bedding, and  Backfill</t>
  </si>
  <si>
    <t>D-701-5.4</t>
  </si>
  <si>
    <t>Class lll, 36-inch Diameter Reinforced Concrete Pipe, Including Excavation, Pipe Bedding, and  Backfill</t>
  </si>
  <si>
    <t>TDOT 709.09</t>
  </si>
  <si>
    <t>Rubble Stone Riprap, Class A-1</t>
  </si>
  <si>
    <t>New Inlet 1, Double Grate, Depth 3.25-ft, Including Excavation, Base Stone Bedding, and Backfill</t>
  </si>
  <si>
    <t>New Inlet 2, Double Grate, Depth 3.32-ft, Including Excavation, Base Stone Bedding, and Backfill</t>
  </si>
  <si>
    <t>New Inlet 3, TDOT Standard No. 39 Circular Catch Basin (D-CB-39RB), Inner Dia. 96-in Approx.. 10.3-ft Depth Rim to Invert, Including Excavation, Base Stone Bedding, and Backfill</t>
  </si>
  <si>
    <t>D-751-5.4</t>
  </si>
  <si>
    <t>New Inlet B23, Double Grate, Depth 3.64-ft, Including Excavation, Base Stone Bedding, and Backfill</t>
  </si>
  <si>
    <t>D-751-5.5</t>
  </si>
  <si>
    <t>New Inlet B25A, Double Grate, Depth 4.38-ft, Including Excavation, Base Stone Bedding, and Backfill</t>
  </si>
  <si>
    <t>D-751-5.6</t>
  </si>
  <si>
    <t>New Inlet B25B, Double Grate, Depth 4.00-ft, Including Excavation, Base Stone Bedding, and Backfill</t>
  </si>
  <si>
    <t>D-751-5.7</t>
  </si>
  <si>
    <t>New Inlet B28A, Triple Grate, Depth 5.01-ft, Including Excavation, Base Stone Bedding, and Backfill</t>
  </si>
  <si>
    <t>D-751-5.8</t>
  </si>
  <si>
    <t>Adjust Inlet B8,  0.75-ft Lower, including Excavation and Backfill</t>
  </si>
  <si>
    <t>D-751-5.9</t>
  </si>
  <si>
    <t>Adjust Inlet B9,  0.84-ft Lower, including Excavation and Backfill</t>
  </si>
  <si>
    <t>D-751-5.10</t>
  </si>
  <si>
    <t>New Inlet B9A, Quadruple Grate, Depth 7.14-ft, Including Excavation, Base Stone Bedding, and Backfill</t>
  </si>
  <si>
    <t>D-751-5.11</t>
  </si>
  <si>
    <t>New Inlet B33A, Double Grate, Depth 3.64-ft, Including Excavation, Base Stone Bedding, and Backfill</t>
  </si>
  <si>
    <t>D-751-5.12</t>
  </si>
  <si>
    <t>New Inlet 35A, Triple Grate, Depth 4.69-ft, Including Excavation, Base Stone Bedding, and Backfill</t>
  </si>
  <si>
    <t>D-751-5.13</t>
  </si>
  <si>
    <t>New Inlet B-11A, Triple Grate, Depth 11.32-ft, Including Excavation, Base Stone Bedding, and Backfill</t>
  </si>
  <si>
    <t>D-751-5.14</t>
  </si>
  <si>
    <t>Adjust Inlet C6, 1.04-ft Lower, Including Excavation and Backfill</t>
  </si>
  <si>
    <t>D-751-5.15</t>
  </si>
  <si>
    <t>New Inlet C7A,, Double Grate, Depth 2.26-ft, Including Excavation, Base Stone Bedding, and Backfill</t>
  </si>
  <si>
    <t>D-751-5.16</t>
  </si>
  <si>
    <t>Adjust Inlet C7, for New Pipe Entry, Reconstruct top 5.33 Feet of 13.32-ft Inlet Depth</t>
  </si>
  <si>
    <t>D-751-5.17</t>
  </si>
  <si>
    <t>New Inlet C25A, Double Grate, Depth 2.76-ft, Including Excavation, Base Stone Bedding and Backfill</t>
  </si>
  <si>
    <t>D-751-5.18</t>
  </si>
  <si>
    <t>Remove and Reconstruct Inlet C24, as New Inlet with Double Grate, Depth 7.67-ft, Including Excavation, Base Stone Bedding, and Backfill</t>
  </si>
  <si>
    <t>D-751-5.19</t>
  </si>
  <si>
    <t>New Inlet D28A, TDOT Standard No. 39 4-ft x 4-ft Square Catch Basin (D-CB-39S), Special Short Depth 5.25-ft, Including Excavation, Base Stone Bedding, and Backfill</t>
  </si>
  <si>
    <t>D-751-5.20</t>
  </si>
  <si>
    <t>Adjust Inlet B36, 0.89-ft Lower, Including Excavation and Backfill</t>
  </si>
  <si>
    <t>D-751-5.21</t>
  </si>
  <si>
    <t xml:space="preserve">Adjust Inlet D28, for New Pipe Entry, Reconstruct top 8.29 Feet of 17.20-ft Inlet Depth </t>
  </si>
  <si>
    <t xml:space="preserve">Headwall for 12-inch or 18-inch Diameter Culvert </t>
  </si>
  <si>
    <t xml:space="preserve">Headwall for 36-inch Diameter Culvert </t>
  </si>
  <si>
    <t>D-754-5.1</t>
  </si>
  <si>
    <t>Concrete Paved Ditch</t>
  </si>
  <si>
    <t>Seeding, Hydraulically Applied with Mulch</t>
  </si>
  <si>
    <t xml:space="preserve">Bermudagrass Sod Placement on Airfield </t>
  </si>
  <si>
    <t>T-904-5.2</t>
  </si>
  <si>
    <t>Tifway 419 Bermudagrass Sod Placement on Golf Course Tee Box</t>
  </si>
  <si>
    <t>Topsoil Placement from On-Site Stockpiles</t>
  </si>
  <si>
    <t>T-905-5.2</t>
  </si>
  <si>
    <t>Topsoil Placement from Off-Site Sources</t>
  </si>
  <si>
    <t>L-100-5.2</t>
  </si>
  <si>
    <t xml:space="preserve">Electrical Demolition </t>
  </si>
  <si>
    <t>Site Locating, Duct Taping, and Pot Holing</t>
  </si>
  <si>
    <t>L-104-5.1</t>
  </si>
  <si>
    <t>Temporary Airfield Lighting During Construction</t>
  </si>
  <si>
    <t>L-107-5.1</t>
  </si>
  <si>
    <t>L-806(L) SIZE 1, STYLE 1-B, LED Windcone and Foundation, Including New L-830 Isolation Transformer</t>
  </si>
  <si>
    <t>No. 8 AWG, 5kV, L-824C, Type C Cable, Installed in Conduit</t>
  </si>
  <si>
    <t>No.6 AWG Bare Solid Counterpoise Wire, Installed in Trench, Including Ground Rods and Ground Connectors, Trenching and Compacted Backfill</t>
  </si>
  <si>
    <t xml:space="preserve">Installation of Cables for Voltage-Driven PAPI Systems, Size and Type to Match Existing </t>
  </si>
  <si>
    <t>L-109-7.1</t>
  </si>
  <si>
    <t xml:space="preserve">L-828 Constant Current Regulator 10 KW, Including Connection to Airport Lighting Control System </t>
  </si>
  <si>
    <t>1-way, 2-inch, Schedule 40 PVC Duct, Direct Earth Buried, Including Trenching and Compacted Backfill</t>
  </si>
  <si>
    <t>2-way, 2-inch, Schedule 40 PVC Duct, Concrete Encased, Including Trenching and Compacted Backfill</t>
  </si>
  <si>
    <t>Electrical Base Can Plaza</t>
  </si>
  <si>
    <t>L-867D Base Can as Electrical Junction</t>
  </si>
  <si>
    <t xml:space="preserve">L-861(L) LED Elevated Medium Intensity Runway Edge Light on L-867B Base with Clear-Clear Lens </t>
  </si>
  <si>
    <t xml:space="preserve">L-861(L) LED Elevated Medium Intensity Runway Edge Light on L-867B Base with Clear-Yellow Lens </t>
  </si>
  <si>
    <t>L-852D In-Pavement  Taxiway Centerline Light Modified with White-Yellow Lenses</t>
  </si>
  <si>
    <t>L-861E(L) LED Elevated Medium Intensity Runway Threshold Light on L-867B Base with Green-Red Lens</t>
  </si>
  <si>
    <t>L-858(L) LED Internally-Lit Airfield Sign, Size 2, 1-Module, Salvaged Sign Installed on New Sign Base Pad</t>
  </si>
  <si>
    <t>L-858(L) LED Internally-Lit Airfield Sign, Size 2, 1-Module, New Sign Installed on New Sign Base Pad</t>
  </si>
  <si>
    <t>L-858(L) LED Internally-Lit Airfield Sign, Size 2, 2-Module, New Sign Installed on Existing Base Pad</t>
  </si>
  <si>
    <t>L-858(L) LED Internally-Lit Airfield Sign, Size 2, 2-Module, New Sign Installed on New Sign Base Pad</t>
  </si>
  <si>
    <t>L-858(L) LED Internally-Lit Airfield Sign, Size 2, 3-Module, New Sign Installed on  Existing Base Pad</t>
  </si>
  <si>
    <t>L-858(L) LED Internally-Lit Airfield Sign, Size 2, 3-Module, New Sign Installed on New Sign Base Pad</t>
  </si>
  <si>
    <t>L-125-5.11a</t>
  </si>
  <si>
    <t>L-849(L) LED Style C, Runway End Indicator Light (REIL) System For Runway 1 End</t>
  </si>
  <si>
    <t>L-125-5.11b</t>
  </si>
  <si>
    <t>L-849(L) LED Style C, Runway End Indicator Light (REIL) System For Runway 19 End</t>
  </si>
  <si>
    <t>MTEMC 1</t>
  </si>
  <si>
    <t>Single-Phase Underground Primary Power Ditch - 2G</t>
  </si>
  <si>
    <t>MTEMC 2</t>
  </si>
  <si>
    <t>Primary Power Pull Box PB-1</t>
  </si>
  <si>
    <t>SAS - 1</t>
  </si>
  <si>
    <t>Adjust Sanitary Sewer Machine Riser 0.55-ft</t>
  </si>
  <si>
    <t>SAS - 2</t>
  </si>
  <si>
    <t>Adjust Sanitary Sewer Machine Riser 4.82-ft</t>
  </si>
  <si>
    <t>IRRIG-1</t>
  </si>
  <si>
    <t>Install 6-inch Irrigation Pipe, Including Low-Voltage Control Cable, Fittings, and Irrigation Zone Control Valves Trench Excavation and Backfill</t>
  </si>
  <si>
    <t>IRRIG-2</t>
  </si>
  <si>
    <t>Install 2.5-inch Irrigation Pipe, Including Low-Voltage Control Cable, Fittings, and Irrigation Zone Control Valves Trench Excavation and Backfill</t>
  </si>
  <si>
    <t>IRRIG-3</t>
  </si>
  <si>
    <t>Install Irrigation System Sprinkler Heads</t>
  </si>
  <si>
    <t>IRRIG-4</t>
  </si>
  <si>
    <t>Relocate and Recommission Irrigation System Control Cabinet</t>
  </si>
  <si>
    <t>BASE BID (Hangar Access Road)</t>
  </si>
  <si>
    <t>ALLEN SEARCY</t>
  </si>
  <si>
    <t>FORD CONSTRUCTION COMPANY</t>
  </si>
  <si>
    <t>UNION CITY PAVNG, LLC</t>
  </si>
  <si>
    <t>$                                         -</t>
  </si>
  <si>
    <t>INSTALLATION AND REMOVAL OF STONE CHECK DAM</t>
  </si>
  <si>
    <t>F-162</t>
  </si>
  <si>
    <t>CHAIN LINK FENCE</t>
  </si>
  <si>
    <t>EMBANKMENT IN PLACE</t>
  </si>
  <si>
    <t>P-155-5.1</t>
  </si>
  <si>
    <t>LIME-TREATED SUBGRADE (12" COMPACTED THICKNESS)</t>
  </si>
  <si>
    <t>MINERAL AGGREGATE TYPE A BASE COURSE (10" THICKNESS)</t>
  </si>
  <si>
    <t>ACS MIX (PG64-22) GRADING D (PLACEED IN (2) 2-INCH LIFTS)</t>
  </si>
  <si>
    <t>TDOT 402-1</t>
  </si>
  <si>
    <t>ENCASED 6" SANITARY SEWER PIPE (INCLUDING REMOVAL OF EXISTING PIPE, EXCAVATION, BACKFILL, BEDDING, ETC.) (COMPLETE IN PLACE)</t>
  </si>
  <si>
    <t>PAVEMENT MARKINGS</t>
  </si>
  <si>
    <t>EXTEND 8" CORRUGATED PLASTIC PIPE, INCLUDING BACKFILL, BEDDING, ETC. (COMPLETE IN PLACE)</t>
  </si>
  <si>
    <t>RELOCATE EXISTING SLIDING GATE &amp; ELECTRONICS</t>
  </si>
  <si>
    <t>5' SIDEWALK</t>
  </si>
  <si>
    <t>SIDEWALK CROSS DRAIN</t>
  </si>
  <si>
    <t>REPLACE EXISTING WATER VALVE HANDHOLE</t>
  </si>
  <si>
    <t>SCHEDULE  1 BASE BID (Apron Expansion)</t>
  </si>
  <si>
    <t>ROGERS GROUP</t>
  </si>
  <si>
    <t>CLEARY CONSTRUCTION</t>
  </si>
  <si>
    <t>SS-120-3.1</t>
  </si>
  <si>
    <t>Construction Safety and Security</t>
  </si>
  <si>
    <t>SS-140-5.1</t>
  </si>
  <si>
    <t>Demolition and Disposal</t>
  </si>
  <si>
    <t>SS-300-5.1</t>
  </si>
  <si>
    <t>Lockout/Tagout and Constant Current
Regulator Calibration Procedures</t>
  </si>
  <si>
    <t>SS-301-5.1</t>
  </si>
  <si>
    <t>Existing Base Mounted Edge Light,
Removed</t>
  </si>
  <si>
    <t>SS-310-5.1</t>
  </si>
  <si>
    <t>Temporary Airfield Lighting</t>
  </si>
  <si>
    <t>SS-400-4.1</t>
  </si>
  <si>
    <t>TDOT Crushed Aggregate Base Course,
Type A, Grading D</t>
  </si>
  <si>
    <t>SS-401-4.1</t>
  </si>
  <si>
    <t>TDOT Asphalt Base Course, Type 307-BM2</t>
  </si>
  <si>
    <t>SS-401-4.2</t>
  </si>
  <si>
    <t>TDOT Asphalt Surface Course, Type 411-D</t>
  </si>
  <si>
    <t>Temporary Erosion Control</t>
  </si>
  <si>
    <t>Mobilization (Maximum 10% of Total Bid)</t>
  </si>
  <si>
    <t>18" RCP (Class III)</t>
  </si>
  <si>
    <t>24" RCP (Class III)</t>
  </si>
  <si>
    <t>36" RCP (Class III)</t>
  </si>
  <si>
    <t>D-701-5.5</t>
  </si>
  <si>
    <t>24" x 38" H.E. RCP (Class III)</t>
  </si>
  <si>
    <t>5' x 5' Aircraft Rated Grate Inlet</t>
  </si>
  <si>
    <t>Detention Pond Outlet Structure</t>
  </si>
  <si>
    <t>18" TDOT Slope Paved Headwall (4:1)</t>
  </si>
  <si>
    <t>D-752-5.3</t>
  </si>
  <si>
    <t>24" TDOT Slope Paved Headwall (4:1)</t>
  </si>
  <si>
    <t>D-752-5.4</t>
  </si>
  <si>
    <t>36" TDOT Slope Paved Headwall (4:1)</t>
  </si>
  <si>
    <t>D-752-5.5</t>
  </si>
  <si>
    <t>24" x 38" H.E. TDOT Slope Paved Headwall
(4:1)</t>
  </si>
  <si>
    <t>Concrete Ditch Paving (4' Width)</t>
  </si>
  <si>
    <t>D-754-5.4</t>
  </si>
  <si>
    <t>Concrete Ditch Paving (Detention Pond
Inlet)</t>
  </si>
  <si>
    <t>No. 8 AWG, 5kV, L-824, Type C Cable, Installed in Trench, Duct Bank, or Conduit</t>
  </si>
  <si>
    <t>No. 6 AWG, Solid Bare Counterpoise Wire, Installed in Trench, Above the Duct Bank or Conduit, Including Ground Rods and Ground
Connectors</t>
  </si>
  <si>
    <t>Trenching for Direct-Buried Bare
Counterpoise Wire, 8" Minimum Depth</t>
  </si>
  <si>
    <t>Non-Encased Electrical Conduit, 1-Way,
2"C</t>
  </si>
  <si>
    <t>Concrete Encased Electrical Duct, 2-Way,
2"C</t>
  </si>
  <si>
    <t>Concrete Encased Electrical Junction
Structure,  L-867D,  12" Diameter x 24" Depth</t>
  </si>
  <si>
    <t>L-861T(L) Base Mounted Taxiway Edge
Light, Installed on New L-867B Base</t>
  </si>
  <si>
    <t>L-858 Base Mounted, Unlit Guidance Sign,
Installed on New Foundation</t>
  </si>
  <si>
    <t>Unclassified Excavation</t>
  </si>
  <si>
    <t>Rock Excavation</t>
  </si>
  <si>
    <t>Unsuitable Excavation</t>
  </si>
  <si>
    <t>Cement Treated Soil Base Course - 12"
Depth</t>
  </si>
  <si>
    <t>P-220-6.2</t>
  </si>
  <si>
    <t>Portland Cement</t>
  </si>
  <si>
    <t>P-501-8.1</t>
  </si>
  <si>
    <t>Portland Cement Concrete Pavement, 8"
Depth</t>
  </si>
  <si>
    <t>Pavement Marking - 6" Yellow w/ Reflective
Media</t>
  </si>
  <si>
    <t>Seeding with Hydro-Mulch</t>
  </si>
  <si>
    <t>Sodding</t>
  </si>
  <si>
    <t>Topsoil, 4" Depth (Obtained On-Site)</t>
  </si>
  <si>
    <t>SCHEDULE 1 BID TOTALS</t>
  </si>
  <si>
    <t>SS-302-3.1</t>
  </si>
  <si>
    <t>Communications Utility Allowance</t>
  </si>
  <si>
    <t>ALLOW</t>
  </si>
  <si>
    <t>SS-302-3.2</t>
  </si>
  <si>
    <t>Power Utility Allowance</t>
  </si>
  <si>
    <t>SS-302-3.3</t>
  </si>
  <si>
    <t>Gas Utility Allowance</t>
  </si>
  <si>
    <t>15" RCP (Class III)</t>
  </si>
  <si>
    <t>32"x32" TDOT Square No. 42 Catch Basin</t>
  </si>
  <si>
    <t>15" TDOT Slope Paved Headwall (4:1)</t>
  </si>
  <si>
    <t>D-754-5.2</t>
  </si>
  <si>
    <t>TDOT 6" Vertical Curb and Gutter</t>
  </si>
  <si>
    <t>D-754-5.3</t>
  </si>
  <si>
    <t>TDOT 4' Width Flume</t>
  </si>
  <si>
    <t>Asphalt Pavement Removal</t>
  </si>
  <si>
    <t>Soil-Cement Base Course - 12" Depth</t>
  </si>
  <si>
    <t>Pavement Marking - 4" Yellow / White Stop
Bar</t>
  </si>
  <si>
    <t>SCHEDULE 1 ALT BID TOTALS</t>
  </si>
  <si>
    <t>SS-111-1.1</t>
  </si>
  <si>
    <t>Spot Dig and Verify Existing Utilites</t>
  </si>
  <si>
    <t>SS-111-1.2</t>
  </si>
  <si>
    <t>8" SDR 26 PVC Gravity Sewer Line</t>
  </si>
  <si>
    <t>SS-111-1.3</t>
  </si>
  <si>
    <t>Sewer Service Line</t>
  </si>
  <si>
    <t>SS-111-1.4</t>
  </si>
  <si>
    <t>4' ID Manhole, 0' to 6' Depth</t>
  </si>
  <si>
    <t>SS-111-1.5</t>
  </si>
  <si>
    <t>4' ID Manhole Additional Depth, Over 6'</t>
  </si>
  <si>
    <t>VF</t>
  </si>
  <si>
    <t>SS-111-1.6</t>
  </si>
  <si>
    <t>Connect to Existing Sewer Manhole</t>
  </si>
  <si>
    <t>SS-111-1.7</t>
  </si>
  <si>
    <t>Sewer Service Connection</t>
  </si>
  <si>
    <t>SS-111-1.8</t>
  </si>
  <si>
    <t>Trench Pavement Repair</t>
  </si>
  <si>
    <t>SS-111-1.9</t>
  </si>
  <si>
    <t>SS-111-1.10</t>
  </si>
  <si>
    <t>Utility Trench Undercut and Backfill</t>
  </si>
  <si>
    <t>SCHEDULE 2 BID TOTALS</t>
  </si>
  <si>
    <t>SCHEDULE 2 ALT BID TOTALS</t>
  </si>
  <si>
    <t>BASE BID (Taxiway Lightning)</t>
  </si>
  <si>
    <t>APPALACHIAN FOOTHILLS</t>
  </si>
  <si>
    <t>PRECISION APPROACH</t>
  </si>
  <si>
    <t>STANSELL ELECTRIC</t>
  </si>
  <si>
    <t>Install and Maintain 20-ft Ditch Wattle, and Remove upon
Completion of Project</t>
  </si>
  <si>
    <t>Minor Grading for Sign or PAPI Pad, Incl. Ditch Relocation</t>
  </si>
  <si>
    <t>Class III, 12-inch Diameter Reinforced Concrete Pipe, Including
Excavation, Pipe Bedding, and Backfill</t>
  </si>
  <si>
    <t>Headwall for 12” Dia. Reinforced Concrete Pipe, Including
Removal and Disposal of Existing Headwall</t>
  </si>
  <si>
    <t>Underdrain Headwall</t>
  </si>
  <si>
    <t>Seeding, with Hydraulically Applied Mulch</t>
  </si>
  <si>
    <t>Sod</t>
  </si>
  <si>
    <t>Verification of Existing Conditions</t>
  </si>
  <si>
    <t>No. 8 AWG, 5kV L-824 Type C Cable, Installed in Duct Bank or
Conduit</t>
  </si>
  <si>
    <t>No. 6 AWG, Solid, Bare Copper Counterpoise Wire, Installed in Trench, Including Connections/Terminations and Ground Rods</t>
  </si>
  <si>
    <t>No. 6 AWG, 5kV L-824 Type C Cable, Installed in Duct Bank or Conduit</t>
  </si>
  <si>
    <t>Installation of New 4KW Constant Current Regulators for PAPIs on RW 1 and RW19 with Internal S1 Cutout within Existing Vault</t>
  </si>
  <si>
    <t>L-109-7.2</t>
  </si>
  <si>
    <t>Installation of New 7.5KW Constant Current Regulator for TW circuit with Internal S1 Cutout within Existing Vault, in Place</t>
  </si>
  <si>
    <t>L-109-7.3</t>
  </si>
  <si>
    <t>Installation of New 4KW Constant Current Regulator for RGL circuit with Internal S1 Cutout within Existing Vault</t>
  </si>
  <si>
    <t>L-109-7.4</t>
  </si>
  <si>
    <t>Removal and Installation of Existing 7.5KW Constant Current Regulator from the FBO Building to the Existing Vault to be Utilized as a Spare Constant Current Regulator</t>
  </si>
  <si>
    <t>L-109-7.5</t>
  </si>
  <si>
    <t>Miscellaneous Vault and Terminal Modifications Including Wiring, and L-821 Modifications</t>
  </si>
  <si>
    <t>Non-Encased Electrical Conduit, 1-Way 2-Inch</t>
  </si>
  <si>
    <t>Non-Encased Drain Conduit, 1-Way 2-Inch</t>
  </si>
  <si>
    <t>Concrete Encased Rigid Conduit, 1-Way 2-Inch</t>
  </si>
  <si>
    <t>L-861T(L), LED, Elevated Taxiway Edge Light Installed on New L 867B Base Can</t>
  </si>
  <si>
    <t>L-804(L), LED, Elevated Runway Guard Light Installed on New L 867B Base Can</t>
  </si>
  <si>
    <t>L-858(L), LED, Size 2, 3 Module Airfield Guidance Sign Installed on New Foundation</t>
  </si>
  <si>
    <t>BASE BID (TWY LIGHTNING) TOTALS</t>
  </si>
  <si>
    <t>BASE BID (PAPI Replacement)</t>
  </si>
  <si>
    <t>L-881(L), LED, 2-Box PAPI Array, Installed on New Foundations,
and Calibraded with the Installation of Baffles per FAA Flight Check</t>
  </si>
  <si>
    <t>L-861T(L), LED, Elevated Taxiway Edge Light Procured and
Delivered to Owner's Storage for Spare Equipment</t>
  </si>
  <si>
    <t>L-867D Junction Can with 3/8” Metal Cover Plate</t>
  </si>
  <si>
    <t>BASE BID (PAPI) TOTALS</t>
  </si>
  <si>
    <t>Project Total</t>
  </si>
  <si>
    <t xml:space="preserve">21-555-0551-23
</t>
  </si>
  <si>
    <t>BASE BID</t>
  </si>
  <si>
    <t>C-102</t>
  </si>
  <si>
    <t>Installation and Removal of Silt Fence</t>
  </si>
  <si>
    <t>LFT</t>
  </si>
  <si>
    <t>P-151-4.1A</t>
  </si>
  <si>
    <t>Tree Clearing (Parcel #4)</t>
  </si>
  <si>
    <t>P-151-4.1B</t>
  </si>
  <si>
    <t>Tree Clearing (Parcel #10)</t>
  </si>
  <si>
    <t>P-151-4.1C</t>
  </si>
  <si>
    <t>Tree Clearing (Parcel #12)</t>
  </si>
  <si>
    <t>P-151-4.1D</t>
  </si>
  <si>
    <t>Tree Clearing (Parcel #13)</t>
  </si>
  <si>
    <t>P-151-4.1E</t>
  </si>
  <si>
    <t>Tree Clearing (Parcel #22)</t>
  </si>
  <si>
    <t>P-151-4.1F</t>
  </si>
  <si>
    <t>Tree Clearing (Parcel #26)</t>
  </si>
  <si>
    <t>P-151-4.1G</t>
  </si>
  <si>
    <t>Tree Clearing (Parcel #29)</t>
  </si>
  <si>
    <t>P-151-4.1H</t>
  </si>
  <si>
    <t>Tree Clearing (Parcel #30)</t>
  </si>
  <si>
    <t>P-151-4.1I</t>
  </si>
  <si>
    <t>Tree Clearing (Parcel #33)</t>
  </si>
  <si>
    <t>P-151-4.1J</t>
  </si>
  <si>
    <t>Tree Clearing (Parcel #42)</t>
  </si>
  <si>
    <t>P-151-4.3K</t>
  </si>
  <si>
    <t>Remove Tree (1"-12" Butt Diameter, Undistributed)</t>
  </si>
  <si>
    <t>P-151-4.3L</t>
  </si>
  <si>
    <t>Remove Tree (13"-24" Butt Diameter, Undistributed)</t>
  </si>
  <si>
    <t>P-151-4.3M</t>
  </si>
  <si>
    <t>Remove Tree (25"-36" Butt Diameter, Undistributed)</t>
  </si>
  <si>
    <t>TRIDENS BUILDERS, LLC</t>
  </si>
  <si>
    <t>GBR CONSTRUCTION AND LANDSCAPING, LLC</t>
  </si>
  <si>
    <t>SOUTHEAST MOWING, LLC</t>
  </si>
  <si>
    <t>SCHEDULE 1 TOTAL</t>
  </si>
  <si>
    <t>SCHEDULE 2 TOTAL</t>
  </si>
  <si>
    <t>ALTERNATE #1 - SCHEDULE NO. 1  SUBTOTAL</t>
  </si>
  <si>
    <t>ALTERNATE #1 - SCHEDULE NO. 2 SUBTOTAL</t>
  </si>
  <si>
    <t>ALTERNATE BID #1 TOTAL</t>
  </si>
  <si>
    <t>SCHEDULE #1 (19 PARKING SPACES)</t>
  </si>
  <si>
    <t>SCHEDULE #2 (41 PARKING SPACES)</t>
  </si>
  <si>
    <t>SCHEDULE #3 (60 PARKING SPACES)</t>
  </si>
  <si>
    <t>Taxiway Edge Lighting and Runway 1-19 PAPI Replacement</t>
  </si>
  <si>
    <t>EOPCC</t>
  </si>
  <si>
    <t>ADD ALTERNATES:</t>
  </si>
  <si>
    <t>WATLINGTON BROTHERS</t>
  </si>
  <si>
    <t>TOTAL BASE BID ITEMS</t>
  </si>
  <si>
    <t>BASE BID (Runway Reconstruction)</t>
  </si>
  <si>
    <t>SCHEDULE  2 BASE BID</t>
  </si>
  <si>
    <t xml:space="preserve">SCHEDULE 2 ADDITIVE ALTERNATE 1 BID </t>
  </si>
  <si>
    <t>CIVIL CONSTRUCTORS</t>
  </si>
  <si>
    <t>SCHEDULE 1 ADDITIVE ALTERNATE 1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</si>
</sst>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164" formatCode="&quot;$&quot;#,##0.00"/>
    <numFmt numFmtId="165" formatCode="&quot;$&quot;#,##0.000"/>
    <numFmt numFmtId="166" formatCode="0.0%"/>
    <numFmt numFmtId="167" formatCode="\$#,##0.00"/>
    <numFmt numFmtId="168" formatCode="\$0.00"/>
    <numFmt numFmtId="169" formatCode="0.0"/>
    <numFmt numFmtId="170" formatCode="\$#,##0.00;[Red]\$#,##0.00"/>
    <numFmt numFmtId="171" formatCode="\$\ #,##0.00"/>
    <numFmt numFmtId="172" formatCode="\$\ 0.00"/>
    <numFmt numFmtId="173" formatCode="00000"/>
  </numFmts>
  <fonts count="20" x14ac:knownFonts="1">
    <font>
      <sz val="11"/>
      <color theme="1"/>
      <name val="Calibri"/>
      <family val="2"/>
      <scheme val="minor"/>
    </font>
    <font>
      <b/>
      <sz val="11"/>
      <color theme="1"/>
      <name val="Calibri"/>
      <family val="2"/>
      <scheme val="minor"/>
    </font>
    <font>
      <b/>
      <i/>
      <sz val="12"/>
      <color theme="1"/>
      <name val="Calibri"/>
      <family val="2"/>
      <scheme val="minor"/>
    </font>
    <font>
      <u/>
      <sz val="11"/>
      <color theme="10"/>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10"/>
      <color rgb="FF000000"/>
      <name val="Times New Roman"/>
      <family val="1"/>
    </font>
    <font>
      <sz val="10"/>
      <color rgb="FF000000"/>
      <name val="Times New Roman"/>
      <family val="1"/>
    </font>
    <font>
      <sz val="11"/>
      <color theme="1"/>
      <name val="Calibri"/>
      <family val="2"/>
      <scheme val="minor"/>
    </font>
    <font>
      <sz val="8"/>
      <name val="Calibri"/>
      <family val="2"/>
      <scheme val="minor"/>
    </font>
    <font>
      <sz val="11"/>
      <color rgb="FF9C5700"/>
      <name val="Calibri"/>
      <family val="2"/>
      <scheme val="minor"/>
    </font>
    <font>
      <b/>
      <sz val="11"/>
      <color theme="0"/>
      <name val="Calibri"/>
      <family val="2"/>
      <scheme val="minor"/>
    </font>
    <font>
      <sz val="11"/>
      <color rgb="FF000000"/>
      <name val="Calibri"/>
      <family val="2"/>
      <scheme val="minor"/>
    </font>
    <font>
      <sz val="11"/>
      <color rgb="FF9C0006"/>
      <name val="Calibri"/>
      <family val="2"/>
      <scheme val="minor"/>
    </font>
    <font>
      <sz val="11"/>
      <color theme="1"/>
      <name val="Calibri Light"/>
      <family val="2"/>
      <scheme val="major"/>
    </font>
    <font>
      <b/>
      <sz val="14"/>
      <color theme="1"/>
      <name val="Calibri"/>
      <family val="2"/>
      <scheme val="minor"/>
    </font>
    <font>
      <sz val="11"/>
      <name val="Calibri"/>
      <family val="2"/>
    </font>
    <font>
      <sz val="11"/>
      <color rgb="FF000000"/>
      <name val="Calibri"/>
      <family val="2"/>
      <scheme val="minor"/>
    </font>
    <font>
      <sz val="11"/>
      <color rgb="FF000000"/>
      <name val="Calibri"/>
      <family val="2"/>
    </font>
  </fonts>
  <fills count="8">
    <fill>
      <patternFill patternType="none"/>
    </fill>
    <fill>
      <patternFill patternType="gray125"/>
    </fill>
    <fill>
      <patternFill patternType="solid">
        <fgColor rgb="FFFFEB9C"/>
      </patternFill>
    </fill>
    <fill>
      <patternFill patternType="solid">
        <fgColor theme="5"/>
        <bgColor theme="5"/>
      </patternFill>
    </fill>
    <fill>
      <patternFill patternType="solid">
        <fgColor theme="5" tint="0.79998168889431442"/>
        <bgColor theme="5" tint="0.79998168889431442"/>
      </patternFill>
    </fill>
    <fill>
      <patternFill patternType="solid">
        <fgColor rgb="FFFCE4D6"/>
        <bgColor indexed="64"/>
      </patternFill>
    </fill>
    <fill>
      <patternFill patternType="solid">
        <fgColor rgb="FFFFC7CE"/>
      </patternFill>
    </fill>
    <fill>
      <patternFill patternType="solid">
        <fgColor theme="0" tint="-0.149998474074526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top style="thin">
        <color indexed="64"/>
      </top>
      <bottom/>
      <diagonal/>
    </border>
    <border>
      <left/>
      <right/>
      <top style="thin">
        <color theme="5" tint="0.39997558519241921"/>
      </top>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medium">
        <color rgb="FFF4B084"/>
      </top>
      <bottom style="medium">
        <color rgb="FFF4B08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9" fontId="9" fillId="0" borderId="0" applyFont="0" applyFill="0" applyBorder="0" applyAlignment="0" applyProtection="0"/>
    <xf numFmtId="44" fontId="9" fillId="0" borderId="0" applyFont="0" applyFill="0" applyBorder="0" applyAlignment="0" applyProtection="0"/>
    <xf numFmtId="0" fontId="11" fillId="2" borderId="0" applyNumberFormat="0" applyBorder="0" applyAlignment="0" applyProtection="0"/>
    <xf numFmtId="0" fontId="14" fillId="6" borderId="0" applyNumberFormat="0" applyBorder="0" applyAlignment="0" applyProtection="0"/>
  </cellStyleXfs>
  <cellXfs count="216">
    <xf numFmtId="0" fontId="0" fillId="0" borderId="0" xfId="0"/>
    <xf numFmtId="0" fontId="2" fillId="0" borderId="0" xfId="0" applyFont="1"/>
    <xf numFmtId="14" fontId="0" fillId="0" borderId="0" xfId="0" applyNumberFormat="1" applyAlignment="1">
      <alignment horizontal="left"/>
    </xf>
    <xf numFmtId="0" fontId="0" fillId="0" borderId="0" xfId="0" applyBorder="1"/>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Alignment="1">
      <alignment horizontal="center"/>
    </xf>
    <xf numFmtId="164" fontId="0" fillId="0" borderId="0" xfId="0" applyNumberFormat="1" applyBorder="1" applyAlignment="1">
      <alignment vertical="center" wrapText="1"/>
    </xf>
    <xf numFmtId="0" fontId="0" fillId="0" borderId="0" xfId="0" applyNumberFormat="1" applyBorder="1" applyAlignment="1">
      <alignment horizontal="center"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4" fillId="0" borderId="0" xfId="0" applyFont="1" applyAlignment="1">
      <alignment horizontal="center" vertical="center"/>
    </xf>
    <xf numFmtId="0" fontId="0" fillId="0" borderId="4" xfId="0" applyBorder="1" applyAlignment="1">
      <alignment horizontal="center"/>
    </xf>
    <xf numFmtId="0" fontId="0" fillId="0" borderId="0" xfId="0" quotePrefix="1"/>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164" fontId="5" fillId="0" borderId="2" xfId="0" applyNumberFormat="1" applyFont="1" applyBorder="1" applyAlignment="1">
      <alignment vertical="center"/>
    </xf>
    <xf numFmtId="164" fontId="5" fillId="0" borderId="3" xfId="0" applyNumberFormat="1" applyFont="1" applyBorder="1" applyAlignment="1">
      <alignment vertical="center"/>
    </xf>
    <xf numFmtId="0" fontId="6" fillId="0" borderId="0" xfId="0" applyFont="1" applyAlignment="1">
      <alignment vertical="center"/>
    </xf>
    <xf numFmtId="0" fontId="0" fillId="0" borderId="0" xfId="0" applyNumberFormat="1" applyAlignment="1">
      <alignment horizontal="center" vertical="center"/>
    </xf>
    <xf numFmtId="0" fontId="0" fillId="0" borderId="0" xfId="0" applyNumberFormat="1" applyAlignment="1">
      <alignment vertical="center"/>
    </xf>
    <xf numFmtId="164" fontId="0" fillId="0" borderId="0" xfId="0" applyNumberFormat="1" applyAlignment="1">
      <alignment vertical="center"/>
    </xf>
    <xf numFmtId="0" fontId="0" fillId="0" borderId="0" xfId="0" applyFont="1" applyAlignment="1">
      <alignment horizontal="center" vertical="center"/>
    </xf>
    <xf numFmtId="0" fontId="0" fillId="0" borderId="0" xfId="0" applyAlignment="1">
      <alignment horizontal="left" vertical="top"/>
    </xf>
    <xf numFmtId="0" fontId="0" fillId="0" borderId="0" xfId="0" applyAlignment="1">
      <alignment horizontal="center" vertical="top"/>
    </xf>
    <xf numFmtId="164" fontId="0" fillId="0" borderId="0" xfId="0" applyNumberFormat="1" applyAlignment="1">
      <alignment horizontal="left" vertical="top"/>
    </xf>
    <xf numFmtId="0" fontId="0" fillId="0" borderId="0" xfId="0" applyNumberFormat="1" applyAlignment="1">
      <alignment horizontal="left" vertical="center"/>
    </xf>
    <xf numFmtId="164" fontId="0" fillId="0" borderId="0" xfId="0" applyNumberFormat="1" applyAlignment="1">
      <alignment horizontal="left" vertical="center"/>
    </xf>
    <xf numFmtId="0" fontId="0" fillId="0" borderId="0" xfId="0" applyFont="1" applyAlignment="1">
      <alignment vertical="center"/>
    </xf>
    <xf numFmtId="14" fontId="0" fillId="0" borderId="0" xfId="0" applyNumberFormat="1" applyFont="1" applyAlignment="1">
      <alignment horizontal="left" vertical="center"/>
    </xf>
    <xf numFmtId="0" fontId="0" fillId="0" borderId="0" xfId="0" applyNumberFormat="1" applyFont="1" applyAlignment="1">
      <alignment horizontal="center" vertical="center"/>
    </xf>
    <xf numFmtId="0" fontId="0" fillId="0" borderId="0" xfId="0" applyFont="1"/>
    <xf numFmtId="14" fontId="0" fillId="0" borderId="0" xfId="0" applyNumberFormat="1" applyAlignment="1">
      <alignment horizontal="center" vertical="center"/>
    </xf>
    <xf numFmtId="165" fontId="0" fillId="0" borderId="0" xfId="0" applyNumberFormat="1" applyAlignment="1">
      <alignment horizontal="left" vertical="top"/>
    </xf>
    <xf numFmtId="9" fontId="0" fillId="0" borderId="0" xfId="4" applyFont="1"/>
    <xf numFmtId="0" fontId="0" fillId="0" borderId="6" xfId="0" applyBorder="1" applyAlignment="1">
      <alignment vertical="center"/>
    </xf>
    <xf numFmtId="0" fontId="0" fillId="0" borderId="6" xfId="0" applyBorder="1"/>
    <xf numFmtId="164" fontId="1" fillId="0" borderId="6" xfId="0" applyNumberFormat="1" applyFont="1" applyBorder="1" applyAlignment="1">
      <alignment vertical="center"/>
    </xf>
    <xf numFmtId="0" fontId="1" fillId="0" borderId="6" xfId="0" applyFont="1" applyBorder="1" applyAlignment="1">
      <alignment vertical="center"/>
    </xf>
    <xf numFmtId="164" fontId="1" fillId="0" borderId="7" xfId="0" applyNumberFormat="1" applyFont="1" applyBorder="1" applyAlignment="1">
      <alignment vertical="center"/>
    </xf>
    <xf numFmtId="166" fontId="1" fillId="0" borderId="6" xfId="4" applyNumberFormat="1" applyFont="1" applyBorder="1"/>
    <xf numFmtId="166" fontId="1" fillId="0" borderId="7" xfId="4" applyNumberFormat="1" applyFont="1" applyBorder="1"/>
    <xf numFmtId="164" fontId="0" fillId="0" borderId="0" xfId="0" applyNumberFormat="1"/>
    <xf numFmtId="0" fontId="11" fillId="2" borderId="0" xfId="6" applyAlignment="1">
      <alignment vertical="center"/>
    </xf>
    <xf numFmtId="0" fontId="0" fillId="0" borderId="0" xfId="0" applyAlignment="1">
      <alignment horizontal="left" vertical="center"/>
    </xf>
    <xf numFmtId="1" fontId="0" fillId="0" borderId="0" xfId="0" applyNumberFormat="1" applyAlignment="1">
      <alignment horizontal="center" vertical="center"/>
    </xf>
    <xf numFmtId="167" fontId="0" fillId="0" borderId="0" xfId="0" applyNumberFormat="1" applyAlignment="1">
      <alignment horizontal="left" vertical="center"/>
    </xf>
    <xf numFmtId="3" fontId="0" fillId="0" borderId="0" xfId="0" applyNumberFormat="1" applyAlignment="1">
      <alignment horizontal="center" vertical="center"/>
    </xf>
    <xf numFmtId="168" fontId="0" fillId="0" borderId="0" xfId="0" applyNumberFormat="1" applyAlignment="1">
      <alignment horizontal="left" vertical="center"/>
    </xf>
    <xf numFmtId="169" fontId="0" fillId="0" borderId="0" xfId="0" applyNumberFormat="1" applyAlignment="1">
      <alignment horizontal="center" vertical="center"/>
    </xf>
    <xf numFmtId="167" fontId="0" fillId="0" borderId="0" xfId="0" applyNumberFormat="1"/>
    <xf numFmtId="0" fontId="0" fillId="0" borderId="6" xfId="0" applyBorder="1" applyAlignment="1"/>
    <xf numFmtId="164" fontId="5" fillId="0" borderId="0" xfId="0" applyNumberFormat="1" applyFont="1" applyAlignment="1">
      <alignment vertical="center"/>
    </xf>
    <xf numFmtId="1" fontId="0" fillId="0" borderId="0" xfId="0" applyNumberFormat="1" applyFont="1" applyAlignment="1">
      <alignment horizontal="center" vertical="center"/>
    </xf>
    <xf numFmtId="168" fontId="0" fillId="0" borderId="0" xfId="0" applyNumberFormat="1"/>
    <xf numFmtId="167" fontId="0" fillId="0" borderId="0" xfId="0" applyNumberFormat="1" applyAlignment="1">
      <alignment horizontal="right" vertical="center"/>
    </xf>
    <xf numFmtId="168" fontId="0" fillId="0" borderId="0" xfId="0" applyNumberFormat="1" applyAlignment="1">
      <alignment horizontal="right" vertical="center"/>
    </xf>
    <xf numFmtId="14" fontId="11" fillId="2" borderId="0" xfId="6" applyNumberFormat="1" applyAlignment="1">
      <alignment horizontal="left" vertical="center"/>
    </xf>
    <xf numFmtId="164" fontId="0" fillId="0" borderId="0" xfId="0" applyNumberFormat="1" applyAlignment="1">
      <alignment horizontal="right"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1" fontId="0" fillId="4" borderId="8"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0" fillId="4" borderId="9" xfId="0" applyFont="1" applyFill="1" applyBorder="1" applyAlignment="1">
      <alignment horizontal="left" vertical="center"/>
    </xf>
    <xf numFmtId="1" fontId="0" fillId="4" borderId="9" xfId="0" applyNumberFormat="1" applyFont="1" applyFill="1" applyBorder="1" applyAlignment="1">
      <alignment horizontal="center" vertical="center"/>
    </xf>
    <xf numFmtId="167" fontId="0" fillId="4" borderId="9" xfId="0" applyNumberFormat="1" applyFont="1" applyFill="1" applyBorder="1" applyAlignment="1">
      <alignment horizontal="right" vertical="center"/>
    </xf>
    <xf numFmtId="1" fontId="0" fillId="0" borderId="8" xfId="0" applyNumberFormat="1" applyFont="1" applyBorder="1" applyAlignment="1">
      <alignment horizontal="center" vertical="center"/>
    </xf>
    <xf numFmtId="0" fontId="0" fillId="0" borderId="9" xfId="0" applyFont="1" applyBorder="1" applyAlignment="1">
      <alignment horizontal="center" vertical="center"/>
    </xf>
    <xf numFmtId="0" fontId="0" fillId="0" borderId="9" xfId="0" applyFont="1" applyBorder="1" applyAlignment="1">
      <alignment horizontal="left" vertical="center"/>
    </xf>
    <xf numFmtId="1" fontId="0" fillId="0" borderId="9" xfId="0" applyNumberFormat="1" applyFont="1" applyBorder="1" applyAlignment="1">
      <alignment horizontal="center" vertical="center"/>
    </xf>
    <xf numFmtId="167" fontId="0" fillId="0" borderId="9" xfId="0" applyNumberFormat="1" applyFont="1" applyBorder="1" applyAlignment="1">
      <alignment horizontal="right" vertical="center"/>
    </xf>
    <xf numFmtId="168" fontId="0" fillId="0" borderId="9" xfId="0" applyNumberFormat="1" applyFont="1" applyBorder="1" applyAlignment="1">
      <alignment horizontal="right" vertical="center"/>
    </xf>
    <xf numFmtId="168" fontId="0" fillId="4" borderId="9" xfId="0" applyNumberFormat="1" applyFont="1" applyFill="1" applyBorder="1" applyAlignment="1">
      <alignment horizontal="right"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0" fillId="0" borderId="0" xfId="0" applyAlignment="1">
      <alignment horizontal="right" vertical="center"/>
    </xf>
    <xf numFmtId="172" fontId="0" fillId="0" borderId="0" xfId="0" applyNumberFormat="1" applyAlignment="1">
      <alignment horizontal="right" vertical="center"/>
    </xf>
    <xf numFmtId="171" fontId="0" fillId="0" borderId="0" xfId="0" applyNumberFormat="1" applyAlignment="1">
      <alignment horizontal="right" vertical="center"/>
    </xf>
    <xf numFmtId="173" fontId="0" fillId="0" borderId="0" xfId="0" applyNumberFormat="1" applyFont="1" applyAlignment="1">
      <alignment horizontal="center" vertical="center"/>
    </xf>
    <xf numFmtId="0" fontId="3" fillId="0" borderId="0" xfId="1" applyFill="1" applyAlignment="1">
      <alignment horizontal="center" vertical="center"/>
    </xf>
    <xf numFmtId="0" fontId="0" fillId="0" borderId="0" xfId="0" applyFill="1" applyAlignment="1">
      <alignment horizontal="center" vertical="center"/>
    </xf>
    <xf numFmtId="0" fontId="3" fillId="0" borderId="0" xfId="1" applyAlignment="1">
      <alignment horizontal="center" vertical="center"/>
    </xf>
    <xf numFmtId="0" fontId="6" fillId="0" borderId="0" xfId="0" applyFont="1" applyAlignment="1">
      <alignment horizontal="center" vertical="center"/>
    </xf>
    <xf numFmtId="0" fontId="0" fillId="0" borderId="0" xfId="0" applyBorder="1" applyAlignment="1">
      <alignment horizontal="center" vertical="center"/>
    </xf>
    <xf numFmtId="0" fontId="6" fillId="0" borderId="0" xfId="1" applyFont="1" applyAlignment="1">
      <alignment horizontal="center" vertical="center"/>
    </xf>
    <xf numFmtId="0" fontId="13" fillId="5" borderId="14" xfId="0" applyFont="1" applyFill="1" applyBorder="1" applyAlignment="1">
      <alignment vertical="center"/>
    </xf>
    <xf numFmtId="170" fontId="0" fillId="0" borderId="0" xfId="0" applyNumberFormat="1" applyAlignment="1">
      <alignment horizontal="right" vertical="center"/>
    </xf>
    <xf numFmtId="10" fontId="0" fillId="0" borderId="0" xfId="4" applyNumberFormat="1" applyFont="1"/>
    <xf numFmtId="167" fontId="0" fillId="4" borderId="11" xfId="0" applyNumberFormat="1" applyFont="1" applyFill="1" applyBorder="1" applyAlignment="1">
      <alignment horizontal="right" vertical="center"/>
    </xf>
    <xf numFmtId="165" fontId="0" fillId="0" borderId="0" xfId="0" applyNumberFormat="1" applyAlignment="1">
      <alignment horizontal="right" vertical="center"/>
    </xf>
    <xf numFmtId="8" fontId="0" fillId="0" borderId="0" xfId="5" applyNumberFormat="1" applyFont="1" applyAlignment="1">
      <alignment horizontal="right" vertical="center"/>
    </xf>
    <xf numFmtId="0" fontId="14" fillId="6" borderId="0" xfId="7" applyAlignment="1">
      <alignment horizontal="center" vertical="center"/>
    </xf>
    <xf numFmtId="0" fontId="0" fillId="0" borderId="0" xfId="0" applyAlignment="1">
      <alignment horizontal="left" vertical="center" wrapText="1"/>
    </xf>
    <xf numFmtId="0" fontId="0" fillId="0" borderId="0" xfId="0" applyNumberFormat="1" applyAlignment="1">
      <alignment horizontal="left" vertical="center" wrapText="1"/>
    </xf>
    <xf numFmtId="0" fontId="0" fillId="0" borderId="0" xfId="0" applyAlignment="1">
      <alignment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164" fontId="0" fillId="0" borderId="0" xfId="0" applyNumberFormat="1" applyFill="1" applyAlignment="1">
      <alignment horizontal="right" vertical="center"/>
    </xf>
    <xf numFmtId="0" fontId="0" fillId="0" borderId="0" xfId="0" applyFill="1" applyAlignment="1">
      <alignment vertical="center"/>
    </xf>
    <xf numFmtId="0" fontId="0" fillId="0" borderId="0" xfId="0" applyFill="1"/>
    <xf numFmtId="6" fontId="0" fillId="0" borderId="0" xfId="0" applyNumberFormat="1" applyAlignment="1">
      <alignment horizontal="right" vertical="center"/>
    </xf>
    <xf numFmtId="10" fontId="1" fillId="0" borderId="6" xfId="4" applyNumberFormat="1" applyFont="1" applyBorder="1"/>
    <xf numFmtId="10" fontId="1" fillId="0" borderId="7" xfId="4" applyNumberFormat="1" applyFont="1" applyBorder="1"/>
    <xf numFmtId="0" fontId="15" fillId="0" borderId="0" xfId="0" applyFont="1"/>
    <xf numFmtId="0" fontId="0" fillId="0" borderId="0" xfId="0" applyAlignment="1">
      <alignment horizontal="center" vertical="center" wrapText="1"/>
    </xf>
    <xf numFmtId="2" fontId="0" fillId="0" borderId="0" xfId="0" applyNumberFormat="1" applyAlignment="1">
      <alignment horizontal="center" vertical="center"/>
    </xf>
    <xf numFmtId="164" fontId="5" fillId="7" borderId="2" xfId="0" applyNumberFormat="1" applyFont="1" applyFill="1" applyBorder="1" applyAlignment="1">
      <alignment vertical="center"/>
    </xf>
    <xf numFmtId="164" fontId="5" fillId="7" borderId="3" xfId="0" applyNumberFormat="1" applyFont="1"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7" borderId="6" xfId="0" applyFill="1" applyBorder="1" applyAlignment="1">
      <alignment vertical="center"/>
    </xf>
    <xf numFmtId="0" fontId="1" fillId="7" borderId="6" xfId="0" applyFont="1" applyFill="1" applyBorder="1" applyAlignment="1">
      <alignment vertical="center"/>
    </xf>
    <xf numFmtId="164" fontId="1" fillId="7" borderId="6" xfId="0" applyNumberFormat="1" applyFont="1" applyFill="1" applyBorder="1" applyAlignment="1">
      <alignment vertical="center"/>
    </xf>
    <xf numFmtId="164" fontId="1" fillId="7" borderId="7" xfId="0" applyNumberFormat="1" applyFont="1" applyFill="1" applyBorder="1" applyAlignment="1">
      <alignment vertical="center"/>
    </xf>
    <xf numFmtId="0" fontId="0" fillId="7" borderId="0" xfId="0" applyFill="1"/>
    <xf numFmtId="0" fontId="0" fillId="7" borderId="0" xfId="0" applyFill="1" applyAlignment="1">
      <alignment horizontal="center"/>
    </xf>
    <xf numFmtId="9" fontId="0" fillId="7" borderId="0" xfId="4" applyFont="1" applyFill="1"/>
    <xf numFmtId="0" fontId="0" fillId="7" borderId="6" xfId="0" applyFill="1" applyBorder="1"/>
    <xf numFmtId="166" fontId="1" fillId="7" borderId="6" xfId="4" applyNumberFormat="1" applyFont="1" applyFill="1" applyBorder="1"/>
    <xf numFmtId="10" fontId="1" fillId="7" borderId="6" xfId="4" applyNumberFormat="1" applyFont="1" applyFill="1" applyBorder="1"/>
    <xf numFmtId="10" fontId="1" fillId="7" borderId="7" xfId="4" applyNumberFormat="1" applyFont="1" applyFill="1" applyBorder="1"/>
    <xf numFmtId="0" fontId="1" fillId="0" borderId="17" xfId="0" applyFont="1" applyBorder="1"/>
    <xf numFmtId="0" fontId="1" fillId="0" borderId="18" xfId="0" applyFont="1" applyBorder="1" applyAlignment="1">
      <alignment horizontal="center"/>
    </xf>
    <xf numFmtId="0" fontId="1" fillId="0" borderId="18" xfId="0" applyFont="1" applyBorder="1"/>
    <xf numFmtId="8" fontId="1" fillId="0" borderId="18" xfId="0" applyNumberFormat="1" applyFont="1" applyBorder="1"/>
    <xf numFmtId="8" fontId="1" fillId="0" borderId="19" xfId="0" applyNumberFormat="1" applyFont="1" applyBorder="1"/>
    <xf numFmtId="0" fontId="1" fillId="0" borderId="20" xfId="0" applyFont="1" applyBorder="1"/>
    <xf numFmtId="0" fontId="1" fillId="0" borderId="0" xfId="0" applyFont="1" applyBorder="1" applyAlignment="1">
      <alignment horizontal="center"/>
    </xf>
    <xf numFmtId="0" fontId="1" fillId="0" borderId="0" xfId="0" applyFont="1" applyBorder="1"/>
    <xf numFmtId="8" fontId="1" fillId="0" borderId="0" xfId="0" applyNumberFormat="1" applyFont="1" applyBorder="1"/>
    <xf numFmtId="8" fontId="1" fillId="0" borderId="21" xfId="0" applyNumberFormat="1" applyFont="1" applyBorder="1"/>
    <xf numFmtId="0" fontId="1" fillId="0" borderId="22" xfId="0" applyFont="1" applyBorder="1"/>
    <xf numFmtId="0" fontId="1" fillId="0" borderId="23" xfId="0" applyFont="1" applyBorder="1" applyAlignment="1">
      <alignment horizontal="center"/>
    </xf>
    <xf numFmtId="0" fontId="1" fillId="0" borderId="23" xfId="0" applyFont="1" applyBorder="1"/>
    <xf numFmtId="10" fontId="1" fillId="0" borderId="23" xfId="0" applyNumberFormat="1" applyFont="1" applyBorder="1"/>
    <xf numFmtId="10" fontId="1" fillId="0" borderId="24" xfId="0" applyNumberFormat="1" applyFont="1" applyBorder="1"/>
    <xf numFmtId="164" fontId="5" fillId="0" borderId="25" xfId="0" applyNumberFormat="1" applyFont="1" applyBorder="1" applyAlignment="1">
      <alignment vertical="center"/>
    </xf>
    <xf numFmtId="164" fontId="5" fillId="0" borderId="16" xfId="0" applyNumberFormat="1" applyFont="1" applyBorder="1" applyAlignment="1">
      <alignment vertical="center"/>
    </xf>
    <xf numFmtId="0" fontId="1" fillId="0" borderId="29" xfId="0" applyFont="1" applyBorder="1"/>
    <xf numFmtId="164" fontId="5" fillId="0" borderId="16" xfId="0" applyNumberFormat="1" applyFont="1" applyBorder="1" applyAlignment="1">
      <alignment horizontal="right" vertical="center"/>
    </xf>
    <xf numFmtId="8" fontId="1" fillId="0" borderId="27" xfId="0" applyNumberFormat="1" applyFont="1" applyBorder="1" applyAlignment="1">
      <alignment horizontal="right"/>
    </xf>
    <xf numFmtId="10" fontId="1" fillId="0" borderId="30" xfId="0" applyNumberFormat="1" applyFont="1" applyBorder="1" applyAlignment="1">
      <alignment horizontal="right"/>
    </xf>
    <xf numFmtId="0" fontId="1" fillId="0" borderId="29" xfId="0" applyFont="1" applyBorder="1" applyAlignment="1">
      <alignment horizontal="center"/>
    </xf>
    <xf numFmtId="0" fontId="0" fillId="0" borderId="25" xfId="0" applyBorder="1"/>
    <xf numFmtId="0" fontId="0" fillId="0" borderId="29" xfId="0" applyBorder="1"/>
    <xf numFmtId="164" fontId="5" fillId="0" borderId="25" xfId="0" applyNumberFormat="1" applyFont="1" applyBorder="1" applyAlignment="1">
      <alignment horizontal="right" vertical="center"/>
    </xf>
    <xf numFmtId="8" fontId="1" fillId="0" borderId="0" xfId="0" applyNumberFormat="1" applyFont="1" applyBorder="1" applyAlignment="1">
      <alignment horizontal="right"/>
    </xf>
    <xf numFmtId="10" fontId="1" fillId="0" borderId="29" xfId="0" applyNumberFormat="1" applyFont="1" applyBorder="1" applyAlignment="1">
      <alignment horizontal="right"/>
    </xf>
    <xf numFmtId="8" fontId="1" fillId="0" borderId="0" xfId="0" applyNumberFormat="1" applyFont="1" applyFill="1" applyBorder="1"/>
    <xf numFmtId="0" fontId="0" fillId="0" borderId="2" xfId="0" applyBorder="1"/>
    <xf numFmtId="0" fontId="16" fillId="0" borderId="0" xfId="0" applyFont="1" applyAlignment="1">
      <alignment horizontal="center" vertical="center"/>
    </xf>
    <xf numFmtId="14" fontId="13" fillId="0" borderId="0" xfId="6" applyNumberFormat="1" applyFont="1" applyFill="1" applyAlignment="1">
      <alignment horizontal="left" vertical="center"/>
    </xf>
    <xf numFmtId="0" fontId="13" fillId="0" borderId="0" xfId="6" applyFont="1" applyFill="1" applyAlignment="1">
      <alignment vertical="center"/>
    </xf>
    <xf numFmtId="0" fontId="17" fillId="0" borderId="0" xfId="0" applyFont="1" applyFill="1" applyBorder="1" applyAlignment="1"/>
    <xf numFmtId="0" fontId="0"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1" applyFont="1" applyAlignment="1">
      <alignment horizontal="center" vertical="center"/>
    </xf>
    <xf numFmtId="0" fontId="19" fillId="0" borderId="0" xfId="0" applyFont="1" applyFill="1" applyBorder="1" applyAlignment="1"/>
    <xf numFmtId="0" fontId="0" fillId="0" borderId="0" xfId="0" applyAlignment="1">
      <alignment wrapText="1"/>
    </xf>
    <xf numFmtId="0" fontId="5" fillId="0" borderId="1" xfId="0" applyFont="1" applyBorder="1" applyAlignment="1">
      <alignment horizontal="center" vertical="center" wrapText="1"/>
    </xf>
    <xf numFmtId="0" fontId="0" fillId="0" borderId="6" xfId="0" applyBorder="1" applyAlignment="1">
      <alignment horizontal="center" vertical="center"/>
    </xf>
    <xf numFmtId="0" fontId="0" fillId="7" borderId="6" xfId="0" applyFill="1" applyBorder="1" applyAlignment="1">
      <alignment horizontal="center" vertical="center"/>
    </xf>
    <xf numFmtId="0" fontId="11" fillId="2" borderId="0" xfId="6"/>
    <xf numFmtId="10" fontId="1" fillId="0" borderId="0" xfId="0" applyNumberFormat="1" applyFont="1" applyBorder="1"/>
    <xf numFmtId="0" fontId="1" fillId="0" borderId="1" xfId="0" applyFont="1" applyBorder="1"/>
    <xf numFmtId="0" fontId="1" fillId="0" borderId="1" xfId="0" applyFont="1" applyBorder="1" applyAlignment="1">
      <alignment horizontal="center"/>
    </xf>
    <xf numFmtId="0" fontId="1" fillId="0" borderId="2" xfId="0" applyFont="1" applyBorder="1"/>
    <xf numFmtId="8" fontId="1" fillId="0" borderId="2" xfId="0" applyNumberFormat="1" applyFont="1" applyBorder="1"/>
    <xf numFmtId="8" fontId="1" fillId="0" borderId="3" xfId="0" applyNumberFormat="1" applyFont="1" applyBorder="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7" borderId="1" xfId="0" applyNumberFormat="1" applyFont="1" applyFill="1" applyBorder="1" applyAlignment="1">
      <alignment horizontal="center" vertical="center"/>
    </xf>
    <xf numFmtId="0" fontId="5" fillId="7" borderId="2" xfId="0" applyNumberFormat="1" applyFont="1"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5" xfId="0" applyFill="1" applyBorder="1" applyAlignment="1">
      <alignment horizontal="left"/>
    </xf>
    <xf numFmtId="0" fontId="0" fillId="7" borderId="6" xfId="0" applyFill="1" applyBorder="1" applyAlignment="1">
      <alignment horizontal="left"/>
    </xf>
    <xf numFmtId="0" fontId="0" fillId="7" borderId="7" xfId="0" applyFill="1" applyBorder="1" applyAlignment="1">
      <alignment horizontal="left"/>
    </xf>
    <xf numFmtId="0" fontId="0" fillId="0" borderId="10"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167"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1" xfId="0" applyNumberFormat="1" applyFont="1" applyBorder="1" applyAlignment="1">
      <alignment horizontal="right" vertical="center"/>
    </xf>
    <xf numFmtId="0" fontId="5" fillId="0" borderId="2" xfId="0" applyNumberFormat="1" applyFont="1" applyBorder="1" applyAlignment="1">
      <alignment horizontal="right" vertical="center"/>
    </xf>
    <xf numFmtId="10" fontId="5" fillId="0" borderId="1" xfId="4" applyNumberFormat="1" applyFont="1" applyBorder="1" applyAlignment="1">
      <alignment horizontal="right" vertical="center"/>
    </xf>
    <xf numFmtId="10" fontId="5" fillId="0" borderId="2" xfId="4" applyNumberFormat="1" applyFont="1" applyBorder="1" applyAlignment="1">
      <alignment horizontal="right" vertical="center"/>
    </xf>
    <xf numFmtId="0" fontId="5" fillId="0" borderId="15" xfId="0" applyNumberFormat="1" applyFont="1" applyBorder="1" applyAlignment="1">
      <alignment horizontal="center" vertical="center"/>
    </xf>
    <xf numFmtId="0" fontId="5" fillId="0" borderId="25" xfId="0" applyNumberFormat="1" applyFont="1" applyBorder="1" applyAlignment="1">
      <alignment horizontal="center" vertical="center"/>
    </xf>
    <xf numFmtId="2" fontId="5" fillId="0" borderId="1" xfId="0" applyNumberFormat="1" applyFont="1" applyBorder="1" applyAlignment="1">
      <alignment horizontal="right" vertical="center"/>
    </xf>
    <xf numFmtId="2" fontId="5" fillId="0" borderId="3" xfId="0" applyNumberFormat="1" applyFont="1" applyBorder="1" applyAlignment="1">
      <alignment horizontal="right" vertical="center"/>
    </xf>
    <xf numFmtId="2" fontId="5" fillId="0" borderId="2" xfId="0" applyNumberFormat="1" applyFont="1" applyBorder="1" applyAlignment="1">
      <alignment horizontal="right" vertical="center"/>
    </xf>
    <xf numFmtId="0" fontId="5" fillId="0" borderId="3" xfId="0" applyNumberFormat="1" applyFont="1" applyBorder="1" applyAlignment="1">
      <alignment horizontal="center" vertical="center"/>
    </xf>
    <xf numFmtId="0" fontId="5" fillId="0" borderId="3" xfId="0" applyNumberFormat="1" applyFont="1" applyBorder="1" applyAlignment="1">
      <alignment horizontal="right" vertical="center"/>
    </xf>
    <xf numFmtId="8" fontId="5" fillId="0" borderId="1" xfId="0" applyNumberFormat="1" applyFont="1" applyBorder="1" applyAlignment="1"/>
    <xf numFmtId="8" fontId="5" fillId="0" borderId="3" xfId="0" applyNumberFormat="1" applyFont="1" applyBorder="1" applyAlignment="1"/>
    <xf numFmtId="167" fontId="5" fillId="0" borderId="3" xfId="0" applyNumberFormat="1" applyFont="1" applyBorder="1" applyAlignment="1">
      <alignment vertical="center"/>
    </xf>
    <xf numFmtId="167" fontId="5" fillId="0" borderId="2" xfId="0" applyNumberFormat="1" applyFont="1" applyBorder="1" applyAlignment="1">
      <alignment vertical="center"/>
    </xf>
    <xf numFmtId="164" fontId="5" fillId="0" borderId="2" xfId="0" applyNumberFormat="1" applyFont="1" applyBorder="1" applyAlignment="1">
      <alignment horizontal="right" vertical="center"/>
    </xf>
    <xf numFmtId="0" fontId="1" fillId="0" borderId="26" xfId="0" applyFont="1" applyBorder="1" applyAlignment="1">
      <alignment horizontal="right"/>
    </xf>
    <xf numFmtId="0" fontId="1" fillId="0" borderId="0" xfId="0" applyFont="1" applyBorder="1" applyAlignment="1">
      <alignment horizontal="right"/>
    </xf>
    <xf numFmtId="0" fontId="1" fillId="0" borderId="28" xfId="0" applyFont="1" applyBorder="1" applyAlignment="1">
      <alignment horizontal="right"/>
    </xf>
    <xf numFmtId="0" fontId="1" fillId="0" borderId="29" xfId="0" applyFont="1" applyBorder="1" applyAlignment="1">
      <alignment horizontal="right"/>
    </xf>
    <xf numFmtId="0" fontId="5" fillId="0" borderId="15" xfId="0" applyNumberFormat="1" applyFont="1" applyBorder="1" applyAlignment="1">
      <alignment horizontal="right" vertical="center"/>
    </xf>
    <xf numFmtId="0" fontId="5" fillId="0" borderId="25" xfId="0" applyNumberFormat="1" applyFont="1" applyBorder="1" applyAlignment="1">
      <alignment horizontal="right" vertical="center"/>
    </xf>
  </cellXfs>
  <cellStyles count="8">
    <cellStyle name="Bad" xfId="7" builtinId="27"/>
    <cellStyle name="Currency" xfId="5" builtinId="4"/>
    <cellStyle name="Hyperlink" xfId="1" builtinId="8"/>
    <cellStyle name="Neutral" xfId="6" builtinId="28"/>
    <cellStyle name="Normal" xfId="0" builtinId="0"/>
    <cellStyle name="Normal 2" xfId="2" xr:uid="{066B2C3C-DFA1-4024-843E-E25109492581}"/>
    <cellStyle name="Normal 3" xfId="3" xr:uid="{594D58DE-4EB8-49A5-8299-AB176C35DAEE}"/>
    <cellStyle name="Percent" xfId="4" builtinId="5"/>
  </cellStyles>
  <dxfs count="456">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 formatCode="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 formatCode="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top style="thin">
          <color theme="5" tint="0.39997558519241921"/>
        </top>
        <bottom style="thin">
          <color theme="5" tint="0.39997558519241921"/>
        </bottom>
        <vertical/>
        <horizontal/>
      </border>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7" formatCode="\$#,##0.00"/>
      <alignment horizontal="left" vertical="center" textRotation="0" wrapText="0" indent="0" justifyLastLine="0" shrinkToFit="0" readingOrder="0"/>
    </dxf>
    <dxf>
      <numFmt numFmtId="167" formatCode="\$#,##0.00"/>
      <alignment horizontal="lef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 formatCode="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7" formatCode="\$#,##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center"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numFmt numFmtId="170" formatCode="\$#,##0.00;[Red]\$#,##0.00"/>
      <alignment horizontal="center" vertical="center" textRotation="0" wrapText="0" indent="0" justifyLastLine="0" shrinkToFit="0" readingOrder="0"/>
    </dxf>
    <dxf>
      <numFmt numFmtId="170" formatCode="\$#,##0.00;[Red]\$#,##0.00"/>
      <alignment horizontal="right" vertical="center" textRotation="0" wrapText="0" indent="0" justifyLastLine="0" shrinkToFit="0" readingOrder="0"/>
    </dxf>
    <dxf>
      <numFmt numFmtId="168" formatCode="\$0.00"/>
      <alignment horizontal="right" vertical="center" textRotation="0" wrapText="0" indent="0" justifyLastLine="0" shrinkToFit="0" readingOrder="0"/>
    </dxf>
    <dxf>
      <numFmt numFmtId="167" formatCode="\$#,##0.00"/>
      <alignment horizontal="center" vertical="center" textRotation="0" wrapText="0" indent="0" justifyLastLine="0" shrinkToFit="0" readingOrder="0"/>
    </dxf>
    <dxf>
      <numFmt numFmtId="167" formatCode="\$#,##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border outline="0">
        <top style="thin">
          <color theme="5" tint="0.39997558519241921"/>
        </top>
      </border>
    </dxf>
    <dxf>
      <border outline="0">
        <top style="thin">
          <color theme="5" tint="0.39997558519241921"/>
        </top>
        <bottom style="thin">
          <color theme="5" tint="0.39997558519241921"/>
        </bottom>
      </border>
    </dxf>
    <dxf>
      <border outline="0">
        <bottom style="thin">
          <color theme="5" tint="0.39997558519241921"/>
        </bottom>
      </border>
    </dxf>
    <dxf>
      <font>
        <b/>
        <i val="0"/>
        <strike val="0"/>
        <condense val="0"/>
        <extend val="0"/>
        <outline val="0"/>
        <shadow val="0"/>
        <u val="none"/>
        <vertAlign val="baseline"/>
        <sz val="11"/>
        <color theme="0"/>
        <name val="Calibri"/>
        <family val="2"/>
        <scheme val="minor"/>
      </font>
      <fill>
        <patternFill patternType="solid">
          <fgColor theme="5"/>
          <bgColor theme="5"/>
        </patternFill>
      </fill>
      <alignment horizontal="center" vertical="center" textRotation="0" wrapText="0" indent="0" justifyLastLine="0" shrinkToFit="0" readingOrder="0"/>
    </dxf>
    <dxf>
      <numFmt numFmtId="167" formatCode="\$#,##0.00"/>
    </dxf>
    <dxf>
      <numFmt numFmtId="167" formatCode="\$#,##0.00"/>
    </dxf>
    <dxf>
      <numFmt numFmtId="167" formatCode="\$#,##0.00"/>
    </dxf>
    <dxf>
      <border outline="0">
        <top style="thin">
          <color theme="5" tint="0.39997558519241921"/>
        </top>
      </border>
    </dxf>
    <dxf>
      <border outline="0">
        <bottom style="thin">
          <color theme="5" tint="0.39997558519241921"/>
        </bottom>
      </border>
    </dxf>
    <dxf>
      <font>
        <b/>
        <i val="0"/>
        <strike val="0"/>
        <condense val="0"/>
        <extend val="0"/>
        <outline val="0"/>
        <shadow val="0"/>
        <u val="none"/>
        <vertAlign val="baseline"/>
        <sz val="11"/>
        <color theme="0"/>
        <name val="Calibri"/>
        <family val="2"/>
        <scheme val="minor"/>
      </font>
      <fill>
        <patternFill patternType="solid">
          <fgColor theme="5"/>
          <bgColor theme="5"/>
        </patternFill>
      </fill>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7" formatCode="\$#,##0.00"/>
      <alignment horizontal="left" vertical="center" textRotation="0" wrapText="0" indent="0" justifyLastLine="0" shrinkToFit="0" readingOrder="0"/>
    </dxf>
    <dxf>
      <numFmt numFmtId="167" formatCode="\$#,##0.00"/>
      <alignment horizontal="lef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 formatCode="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7" formatCode="\$#,##0.00"/>
      <alignment horizontal="lef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numFmt numFmtId="164" formatCode="&quot;$&quot;#,##0.00"/>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 formatCode="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center" textRotation="0" wrapText="0" indent="0" justifyLastLine="0" shrinkToFit="0" readingOrder="0"/>
    </dxf>
    <dxf>
      <font>
        <strike val="0"/>
        <outline val="0"/>
        <shadow val="0"/>
        <u val="none"/>
        <vertAlign val="baseline"/>
        <sz val="11"/>
        <name val="Calibri"/>
        <family val="2"/>
        <scheme val="minor"/>
      </font>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 formatCode="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border diagonalUp="0" diagonalDown="0">
        <left/>
        <right/>
        <top style="thin">
          <color theme="5" tint="0.39997558519241921"/>
        </top>
        <bottom style="thin">
          <color theme="5" tint="0.39997558519241921"/>
        </bottom>
        <vertical/>
        <horizontal/>
      </border>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border outline="0">
        <top style="medium">
          <color indexed="64"/>
        </top>
      </border>
    </dxf>
    <dxf>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border outline="0">
        <top style="medium">
          <color indexed="64"/>
        </top>
      </border>
    </dxf>
    <dxf>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horizontal="right" vertical="center" textRotation="0" wrapText="0" indent="0" justifyLastLine="0" shrinkToFit="0" readingOrder="0"/>
    </dxf>
    <dxf>
      <numFmt numFmtId="164" formatCode="&quot;$&quot;#,##0.00"/>
      <alignment vertical="center" textRotation="0" wrapText="0" indent="0" justifyLastLine="0" shrinkToFit="0" readingOrder="0"/>
    </dxf>
    <dxf>
      <numFmt numFmtId="164" formatCode="&quot;$&quot;#,##0.00"/>
      <alignment vertical="center" textRotation="0" wrapText="0" indent="0" justifyLastLine="0" shrinkToFit="0" readingOrder="0"/>
    </dxf>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0" formatCode="General"/>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67" formatCode="\$#,##0.00"/>
      <alignment horizontal="right" vertical="center" textRotation="0" wrapText="0" indent="0" justifyLastLine="0" shrinkToFit="0" readingOrder="0"/>
    </dxf>
    <dxf>
      <numFmt numFmtId="1" formatCode="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center" textRotation="0" wrapText="0" indent="0" justifyLastLine="0" shrinkToFit="0" readingOrder="0"/>
    </dxf>
    <dxf>
      <font>
        <strike val="0"/>
        <outline val="0"/>
        <shadow val="0"/>
        <u val="none"/>
        <vertAlign val="baseline"/>
        <sz val="11"/>
        <name val="Calibri"/>
        <family val="2"/>
        <scheme val="minor"/>
      </font>
      <numFmt numFmtId="0" formatCode="General"/>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strike val="0"/>
        <outline val="0"/>
        <shadow val="0"/>
        <u val="none"/>
        <vertAlign val="baseline"/>
        <sz val="18"/>
        <color theme="1"/>
        <name val="Calibri"/>
        <family val="2"/>
        <scheme val="minor"/>
      </font>
      <alignment horizontal="center" vertical="center" textRotation="0" wrapText="0"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164" formatCode="&quot;$&quot;#,##0.00"/>
      <alignment horizontal="general"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s>
  <tableStyles count="0" defaultTableStyle="TableStyleMedium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20</xdr:col>
      <xdr:colOff>0</xdr:colOff>
      <xdr:row>12</xdr:row>
      <xdr:rowOff>104775</xdr:rowOff>
    </xdr:from>
    <xdr:to>
      <xdr:col>20</xdr:col>
      <xdr:colOff>1285875</xdr:colOff>
      <xdr:row>14</xdr:row>
      <xdr:rowOff>0</xdr:rowOff>
    </xdr:to>
    <xdr:sp macro="" textlink="">
      <xdr:nvSpPr>
        <xdr:cNvPr id="7" name="Rectangle: Rounded Corners 6">
          <a:hlinkClick xmlns:r="http://schemas.openxmlformats.org/officeDocument/2006/relationships" r:id="rId1"/>
          <a:extLst>
            <a:ext uri="{FF2B5EF4-FFF2-40B4-BE49-F238E27FC236}">
              <a16:creationId xmlns:a16="http://schemas.microsoft.com/office/drawing/2014/main" id="{8DCBD819-B6D1-415B-B567-8F02A2B7E625}"/>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twoCellAnchor>
    <xdr:from>
      <xdr:col>1</xdr:col>
      <xdr:colOff>0</xdr:colOff>
      <xdr:row>6</xdr:row>
      <xdr:rowOff>0</xdr:rowOff>
    </xdr:from>
    <xdr:to>
      <xdr:col>20</xdr:col>
      <xdr:colOff>0</xdr:colOff>
      <xdr:row>14</xdr:row>
      <xdr:rowOff>9525</xdr:rowOff>
    </xdr:to>
    <xdr:sp macro="" textlink="">
      <xdr:nvSpPr>
        <xdr:cNvPr id="9" name="TextBox 8">
          <a:extLst>
            <a:ext uri="{FF2B5EF4-FFF2-40B4-BE49-F238E27FC236}">
              <a16:creationId xmlns:a16="http://schemas.microsoft.com/office/drawing/2014/main" id="{0DAE1D48-96EB-4AE6-903D-A56E33087FAB}"/>
            </a:ext>
          </a:extLst>
        </xdr:cNvPr>
        <xdr:cNvSpPr txBox="1"/>
      </xdr:nvSpPr>
      <xdr:spPr>
        <a:xfrm>
          <a:off x="0" y="1143000"/>
          <a:ext cx="11582400" cy="1533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Creating</a:t>
          </a:r>
          <a:r>
            <a:rPr lang="en-US" sz="1200" b="1" u="sng" baseline="0"/>
            <a:t> the </a:t>
          </a:r>
          <a:r>
            <a:rPr lang="en-US" sz="1200" b="1" u="sng"/>
            <a:t>"Return</a:t>
          </a:r>
          <a:r>
            <a:rPr lang="en-US" sz="1200" b="1" u="sng" baseline="0"/>
            <a:t> to Index" Button</a:t>
          </a:r>
        </a:p>
        <a:p>
          <a:r>
            <a:rPr lang="en-US" sz="1100" b="1" u="none" baseline="0"/>
            <a:t>1. Insert your favorite shape and customize to your heart's content.</a:t>
          </a:r>
        </a:p>
        <a:p>
          <a:r>
            <a:rPr lang="en-US" sz="1100" b="0" u="none" baseline="0"/>
            <a:t>(Hold Alt while adjusting size or position to lock edges to nearest cells, this ensures shapes will be uniform. I used it for these text boxes too!)</a:t>
          </a:r>
        </a:p>
        <a:p>
          <a:endParaRPr lang="en-US" sz="1100" b="0" u="none" baseline="0"/>
        </a:p>
        <a:p>
          <a:r>
            <a:rPr lang="en-US" sz="1100" b="1" u="none" baseline="0"/>
            <a:t>2. Right-Click the shape and select "Link" in the drop-down menu.</a:t>
          </a:r>
        </a:p>
        <a:p>
          <a:endParaRPr lang="en-US" sz="1100" b="1" u="none" baseline="0"/>
        </a:p>
        <a:p>
          <a:r>
            <a:rPr lang="en-US" sz="1100" b="1" u="none" baseline="0"/>
            <a:t>3. Select "Place in This Document" and choose your favorite sheet and cell!</a:t>
          </a:r>
          <a:endParaRPr lang="en-US" sz="1100" b="0" u="none" baseline="0"/>
        </a:p>
        <a:p>
          <a:r>
            <a:rPr lang="en-US" sz="1100" b="0" u="none" baseline="0"/>
            <a:t>(Follow these steps for creating the links to each sheet in the INDEX as well!)</a:t>
          </a:r>
          <a:endParaRPr lang="en-US" sz="1100" b="1" u="none" baseline="0"/>
        </a:p>
        <a:p>
          <a:endParaRPr lang="en-US" sz="1100" b="0" u="none" baseline="0"/>
        </a:p>
        <a:p>
          <a:endParaRPr lang="en-US" sz="1100" b="0" u="none" baseline="0"/>
        </a:p>
      </xdr:txBody>
    </xdr:sp>
    <xdr:clientData/>
  </xdr:twoCellAnchor>
  <xdr:twoCellAnchor>
    <xdr:from>
      <xdr:col>1</xdr:col>
      <xdr:colOff>0</xdr:colOff>
      <xdr:row>14</xdr:row>
      <xdr:rowOff>0</xdr:rowOff>
    </xdr:from>
    <xdr:to>
      <xdr:col>20</xdr:col>
      <xdr:colOff>0</xdr:colOff>
      <xdr:row>29</xdr:row>
      <xdr:rowOff>0</xdr:rowOff>
    </xdr:to>
    <xdr:sp macro="" textlink="">
      <xdr:nvSpPr>
        <xdr:cNvPr id="13" name="TextBox 12">
          <a:extLst>
            <a:ext uri="{FF2B5EF4-FFF2-40B4-BE49-F238E27FC236}">
              <a16:creationId xmlns:a16="http://schemas.microsoft.com/office/drawing/2014/main" id="{E4DE68C4-3B98-49F0-BA3C-7CCC12320D4B}"/>
            </a:ext>
          </a:extLst>
        </xdr:cNvPr>
        <xdr:cNvSpPr txBox="1"/>
      </xdr:nvSpPr>
      <xdr:spPr>
        <a:xfrm>
          <a:off x="1828800" y="8096250"/>
          <a:ext cx="11582400" cy="35528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Using the "VLOOKUP"</a:t>
          </a:r>
          <a:r>
            <a:rPr lang="en-US" sz="1200" b="1" u="sng" baseline="0"/>
            <a:t> Function to Autofill Airport Information</a:t>
          </a:r>
        </a:p>
        <a:p>
          <a:r>
            <a:rPr lang="en-US" sz="1100" b="1" u="none" baseline="0"/>
            <a:t>1. Set up a standardized location and format for airport data on each bid tab sheet. Each bid tab must include:</a:t>
          </a:r>
        </a:p>
        <a:p>
          <a:r>
            <a:rPr lang="en-US" sz="1100" b="1" u="none" baseline="0"/>
            <a:t>ID, City, Airport, Project Description, TAD #, Bid Date, County, and Grand Division</a:t>
          </a:r>
        </a:p>
        <a:p>
          <a:r>
            <a:rPr lang="en-US" sz="1100" b="0" u="none" baseline="0"/>
            <a:t>(I just copied last year's format!)</a:t>
          </a:r>
        </a:p>
        <a:p>
          <a:endParaRPr lang="en-US" sz="1100" b="0" u="none" baseline="0"/>
        </a:p>
        <a:p>
          <a:r>
            <a:rPr lang="en-US" sz="1100" b="1" baseline="0">
              <a:solidFill>
                <a:schemeClr val="dk1"/>
              </a:solidFill>
              <a:effectLst/>
              <a:latin typeface="+mn-lt"/>
              <a:ea typeface="+mn-ea"/>
              <a:cs typeface="+mn-cs"/>
            </a:rPr>
            <a:t>2. Reveal the hidden "DATA" sheet used to autofill airport data by right-clicking any sheet below and selecting "Unhide" from the drop-down menu. Copy "DATA" to your workbook.</a:t>
          </a:r>
          <a:endParaRPr lang="en-US">
            <a:effectLst/>
          </a:endParaRPr>
        </a:p>
        <a:p>
          <a:r>
            <a:rPr lang="en-US" sz="1100" b="0" baseline="0">
              <a:solidFill>
                <a:schemeClr val="dk1"/>
              </a:solidFill>
              <a:effectLst/>
              <a:latin typeface="+mn-lt"/>
              <a:ea typeface="+mn-ea"/>
              <a:cs typeface="+mn-cs"/>
            </a:rPr>
            <a:t>(The "DATA" sheet holds the County, City, Airport, and Grand Division associated with each Airport ID)</a:t>
          </a:r>
          <a:endParaRPr lang="en-US">
            <a:effectLst/>
          </a:endParaRPr>
        </a:p>
        <a:p>
          <a:endParaRPr lang="en-US" sz="1100" b="1" u="none" baseline="0"/>
        </a:p>
        <a:p>
          <a:r>
            <a:rPr lang="en-US" sz="1100" b="1" u="none" baseline="0"/>
            <a:t>3. Fill in a cell with the Airport ID for a given bid tab.</a:t>
          </a:r>
          <a:endParaRPr lang="en-US" sz="1100" b="0" u="none" baseline="0"/>
        </a:p>
        <a:p>
          <a:r>
            <a:rPr lang="en-US" sz="1100" b="0" u="none" baseline="0"/>
            <a:t>("VLOOKUP" will reference the ID in this cell to find the name and location of the airport given in "DATA".)</a:t>
          </a:r>
        </a:p>
        <a:p>
          <a:endParaRPr lang="en-US"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u="none" baseline="0"/>
            <a:t>4. Choose a cell to display the airport's city, then enter the VLOOKUP function to autofill the cell with the airport's city.</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=VLOOKUP(lookup_value, table_array, col_index_num)</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lookup_value is the cell holding the airport ID.</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table_array is the area VLOOKUP searches. (go to "DATA" and select the entire table excluding headers.)</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col_index_num is the specific column VLOOKUP searches. (for City, enter 3 because the city info in "DATA" is located in column 3.)</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5. Repeat step 4 for the Airport, County, and Grand Division!</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(For each VLOOKUP, only the col_index_num should change.)</a:t>
          </a:r>
        </a:p>
        <a:p>
          <a:pPr marL="0" marR="0" lvl="0" indent="0" defTabSz="914400" eaLnBrk="1" fontAlgn="auto" latinLnBrk="0" hangingPunct="1">
            <a:lnSpc>
              <a:spcPct val="100000"/>
            </a:lnSpc>
            <a:spcBef>
              <a:spcPts val="0"/>
            </a:spcBef>
            <a:spcAft>
              <a:spcPts val="0"/>
            </a:spcAft>
            <a:buClrTx/>
            <a:buSzTx/>
            <a:buFontTx/>
            <a:buNone/>
            <a:tabLst/>
            <a:defRPr/>
          </a:pPr>
          <a:endParaRPr lang="en-US" b="1">
            <a:effectLst/>
          </a:endParaRPr>
        </a:p>
        <a:p>
          <a:endParaRPr lang="en-US" sz="1100" b="0" u="none" baseline="0"/>
        </a:p>
        <a:p>
          <a:endParaRPr lang="en-US" sz="1100" b="1" u="none" baseline="0"/>
        </a:p>
        <a:p>
          <a:endParaRPr lang="en-US" sz="1100" b="0" u="none" baseline="0"/>
        </a:p>
        <a:p>
          <a:endParaRPr lang="en-US" sz="1100" b="0" u="none" baseline="0"/>
        </a:p>
      </xdr:txBody>
    </xdr:sp>
    <xdr:clientData/>
  </xdr:twoCellAnchor>
  <xdr:twoCellAnchor>
    <xdr:from>
      <xdr:col>18</xdr:col>
      <xdr:colOff>600075</xdr:colOff>
      <xdr:row>11</xdr:row>
      <xdr:rowOff>57150</xdr:rowOff>
    </xdr:from>
    <xdr:to>
      <xdr:col>19</xdr:col>
      <xdr:colOff>514350</xdr:colOff>
      <xdr:row>12</xdr:row>
      <xdr:rowOff>152400</xdr:rowOff>
    </xdr:to>
    <xdr:cxnSp macro="">
      <xdr:nvCxnSpPr>
        <xdr:cNvPr id="16" name="Straight Arrow Connector 15">
          <a:extLst>
            <a:ext uri="{FF2B5EF4-FFF2-40B4-BE49-F238E27FC236}">
              <a16:creationId xmlns:a16="http://schemas.microsoft.com/office/drawing/2014/main" id="{1A76790E-680A-44DA-95C3-9CAF7DEDE869}"/>
            </a:ext>
          </a:extLst>
        </xdr:cNvPr>
        <xdr:cNvCxnSpPr/>
      </xdr:nvCxnSpPr>
      <xdr:spPr>
        <a:xfrm>
          <a:off x="12792075" y="7581900"/>
          <a:ext cx="523875" cy="285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485775</xdr:colOff>
      <xdr:row>14</xdr:row>
      <xdr:rowOff>28575</xdr:rowOff>
    </xdr:from>
    <xdr:to>
      <xdr:col>20</xdr:col>
      <xdr:colOff>0</xdr:colOff>
      <xdr:row>22</xdr:row>
      <xdr:rowOff>0</xdr:rowOff>
    </xdr:to>
    <xdr:sp macro="" textlink="">
      <xdr:nvSpPr>
        <xdr:cNvPr id="18" name="Left Brace 17">
          <a:extLst>
            <a:ext uri="{FF2B5EF4-FFF2-40B4-BE49-F238E27FC236}">
              <a16:creationId xmlns:a16="http://schemas.microsoft.com/office/drawing/2014/main" id="{DF5ED914-D4E4-4FA0-B206-5790ABFA1417}"/>
            </a:ext>
          </a:extLst>
        </xdr:cNvPr>
        <xdr:cNvSpPr/>
      </xdr:nvSpPr>
      <xdr:spPr>
        <a:xfrm>
          <a:off x="12677775" y="8124825"/>
          <a:ext cx="733425" cy="15716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0</xdr:colOff>
      <xdr:row>29</xdr:row>
      <xdr:rowOff>0</xdr:rowOff>
    </xdr:from>
    <xdr:to>
      <xdr:col>20</xdr:col>
      <xdr:colOff>0</xdr:colOff>
      <xdr:row>41</xdr:row>
      <xdr:rowOff>0</xdr:rowOff>
    </xdr:to>
    <xdr:sp macro="" textlink="">
      <xdr:nvSpPr>
        <xdr:cNvPr id="19" name="TextBox 18">
          <a:extLst>
            <a:ext uri="{FF2B5EF4-FFF2-40B4-BE49-F238E27FC236}">
              <a16:creationId xmlns:a16="http://schemas.microsoft.com/office/drawing/2014/main" id="{6ED2212E-A9FF-4F56-B132-6914545C6021}"/>
            </a:ext>
          </a:extLst>
        </xdr:cNvPr>
        <xdr:cNvSpPr txBox="1"/>
      </xdr:nvSpPr>
      <xdr:spPr>
        <a:xfrm>
          <a:off x="609600" y="6219825"/>
          <a:ext cx="11582400" cy="2286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baseline="0"/>
            <a:t>Potentially Useful Table Formatting Tips</a:t>
          </a:r>
        </a:p>
        <a:p>
          <a:r>
            <a:rPr lang="en-US" sz="1100" b="1" u="none"/>
            <a:t>1.</a:t>
          </a:r>
          <a:r>
            <a:rPr lang="en-US" sz="1100" b="1" u="none" baseline="0"/>
            <a:t> Insert data into a table to add sorting options and filters. Customize!</a:t>
          </a:r>
        </a:p>
        <a:p>
          <a:r>
            <a:rPr lang="en-US" sz="1100" b="0" u="none" baseline="0"/>
            <a:t>(Ensure data is easy to read. I chose this table specifically for the bold heading, light color, and high constrast between rows.)</a:t>
          </a:r>
        </a:p>
        <a:p>
          <a:endParaRPr lang="en-US" sz="1100" b="0" u="none" baseline="0"/>
        </a:p>
        <a:p>
          <a:r>
            <a:rPr lang="en-US" sz="1100" b="1" u="none" baseline="0"/>
            <a:t>2. Merge cells to create headers spanning multiple columns. Select the cells to merge, then select "Merge and Center" in the "Alignment" section under the "Home" tab.</a:t>
          </a:r>
        </a:p>
        <a:p>
          <a:endParaRPr lang="en-US" sz="1100" b="1" u="none" baseline="0"/>
        </a:p>
        <a:p>
          <a:r>
            <a:rPr lang="en-US" sz="1100" b="1" u="none" baseline="0"/>
            <a:t>3. Edit cell borders using the box icon in the "Font" section under the "Home" tab.</a:t>
          </a:r>
        </a:p>
        <a:p>
          <a:endParaRPr lang="en-US" sz="1100" b="1" u="none" baseline="0"/>
        </a:p>
        <a:p>
          <a:r>
            <a:rPr lang="en-US" sz="1100" b="1" u="none" baseline="0"/>
            <a:t>4. Adjust row height and column width for the entire sheet by selecting the arrow in the top-left corner of the worksheet and clicking "Format" in the "Cells" section under the "Home" tab.</a:t>
          </a:r>
        </a:p>
        <a:p>
          <a:r>
            <a:rPr lang="en-US" sz="1100" b="0" u="none" baseline="0"/>
            <a:t>(Adjust single rows and columns by double-clicking between them on the edges of the worksheet.)</a:t>
          </a:r>
        </a:p>
        <a:p>
          <a:endParaRPr lang="en-US" sz="1100" b="0" u="none" baseline="0"/>
        </a:p>
        <a:p>
          <a:r>
            <a:rPr lang="en-US" sz="1100" b="1" u="none" baseline="0"/>
            <a:t>5. Improve upon my design, look for ways to beat me!</a:t>
          </a:r>
        </a:p>
        <a:p>
          <a:endParaRPr lang="en-US" sz="1100" b="0" u="none"/>
        </a:p>
      </xdr:txBody>
    </xdr:sp>
    <xdr:clientData/>
  </xdr:twoCellAnchor>
  <xdr:twoCellAnchor>
    <xdr:from>
      <xdr:col>1</xdr:col>
      <xdr:colOff>0</xdr:colOff>
      <xdr:row>1</xdr:row>
      <xdr:rowOff>0</xdr:rowOff>
    </xdr:from>
    <xdr:to>
      <xdr:col>8</xdr:col>
      <xdr:colOff>0</xdr:colOff>
      <xdr:row>4</xdr:row>
      <xdr:rowOff>0</xdr:rowOff>
    </xdr:to>
    <xdr:sp macro="" textlink="">
      <xdr:nvSpPr>
        <xdr:cNvPr id="21" name="TextBox 20">
          <a:extLst>
            <a:ext uri="{FF2B5EF4-FFF2-40B4-BE49-F238E27FC236}">
              <a16:creationId xmlns:a16="http://schemas.microsoft.com/office/drawing/2014/main" id="{37D7653C-3DF5-4BFC-8AE9-6766CCC16795}"/>
            </a:ext>
          </a:extLst>
        </xdr:cNvPr>
        <xdr:cNvSpPr txBox="1"/>
      </xdr:nvSpPr>
      <xdr:spPr>
        <a:xfrm>
          <a:off x="609600" y="190500"/>
          <a:ext cx="4267200" cy="5715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1"/>
            <a:t>Bid</a:t>
          </a:r>
          <a:r>
            <a:rPr lang="en-US" sz="2000" b="1" baseline="0"/>
            <a:t> Tabulations Formatting Guide</a:t>
          </a:r>
          <a:endParaRPr lang="en-US" sz="20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62871CC-AFD0-443D-AD71-55328981BB33}"/>
            </a:ext>
          </a:extLst>
        </xdr:cNvPr>
        <xdr:cNvSpPr/>
      </xdr:nvSpPr>
      <xdr:spPr>
        <a:xfrm>
          <a:off x="0" y="104775"/>
          <a:ext cx="1238250"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D14FD032-5956-4DB3-8170-1791364667C2}"/>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D2DFFB0-D872-4606-A9C7-B5F80F007B0C}"/>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5B518EDA-2499-465A-A5CC-B0F648DBA10A}"/>
            </a:ext>
          </a:extLst>
        </xdr:cNvPr>
        <xdr:cNvSpPr/>
      </xdr:nvSpPr>
      <xdr:spPr>
        <a:xfrm>
          <a:off x="0" y="101600"/>
          <a:ext cx="1282700" cy="260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74A3DE5B-479F-4719-9B27-5F559F013CA1}"/>
            </a:ext>
          </a:extLst>
        </xdr:cNvPr>
        <xdr:cNvSpPr/>
      </xdr:nvSpPr>
      <xdr:spPr>
        <a:xfrm>
          <a:off x="0" y="101600"/>
          <a:ext cx="1282700" cy="260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8" name="Rectangle: Rounded Corners 7">
          <a:hlinkClick xmlns:r="http://schemas.openxmlformats.org/officeDocument/2006/relationships" r:id="rId1"/>
          <a:extLst>
            <a:ext uri="{FF2B5EF4-FFF2-40B4-BE49-F238E27FC236}">
              <a16:creationId xmlns:a16="http://schemas.microsoft.com/office/drawing/2014/main" id="{E343C60B-6E58-467F-8E70-FA6AD7C51AC5}"/>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88C9C1B4-4908-4594-9E0A-4BDEA4BFB4BE}"/>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748539AB-73AF-445A-A475-52C7A74B8489}"/>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339725</xdr:colOff>
      <xdr:row>0</xdr:row>
      <xdr:rowOff>63500</xdr:rowOff>
    </xdr:from>
    <xdr:ext cx="6629400" cy="2200275"/>
    <xdr:sp macro="" textlink="">
      <xdr:nvSpPr>
        <xdr:cNvPr id="8" name="TextBox 7">
          <a:extLst>
            <a:ext uri="{FF2B5EF4-FFF2-40B4-BE49-F238E27FC236}">
              <a16:creationId xmlns:a16="http://schemas.microsoft.com/office/drawing/2014/main" id="{9A929389-A539-4A0D-835E-40CC03A8B0D9}"/>
            </a:ext>
          </a:extLst>
        </xdr:cNvPr>
        <xdr:cNvSpPr txBox="1"/>
      </xdr:nvSpPr>
      <xdr:spPr>
        <a:xfrm>
          <a:off x="13331825" y="63500"/>
          <a:ext cx="6629400" cy="2200275"/>
        </a:xfrm>
        <a:prstGeom prst="rect">
          <a:avLst/>
        </a:prstGeom>
        <a:solidFill>
          <a:sysClr val="window" lastClr="FFFFFF"/>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sng">
              <a:solidFill>
                <a:schemeClr val="tx1"/>
              </a:solidFill>
              <a:effectLst/>
              <a:latin typeface="+mn-lt"/>
              <a:ea typeface="+mn-ea"/>
              <a:cs typeface="+mn-cs"/>
            </a:rPr>
            <a:t>Bid Tabulations Disclaimer</a:t>
          </a:r>
          <a:r>
            <a:rPr lang="en-US" sz="1100" b="0" i="0" u="none">
              <a:solidFill>
                <a:schemeClr val="tx1"/>
              </a:solidFill>
              <a:effectLst/>
              <a:latin typeface="+mn-lt"/>
              <a:ea typeface="+mn-ea"/>
              <a:cs typeface="+mn-cs"/>
            </a:rPr>
            <a:t>:</a:t>
          </a:r>
          <a:r>
            <a:rPr lang="en-US" sz="1100" b="0" i="0" u="none" baseline="0">
              <a:solidFill>
                <a:schemeClr val="tx1"/>
              </a:solidFill>
              <a:effectLst/>
              <a:latin typeface="+mn-lt"/>
              <a:ea typeface="+mn-ea"/>
              <a:cs typeface="+mn-cs"/>
            </a:rPr>
            <a:t> </a:t>
          </a:r>
          <a:r>
            <a:rPr lang="en-US" sz="1100" b="0" i="1">
              <a:solidFill>
                <a:schemeClr val="tx1"/>
              </a:solidFill>
              <a:effectLst/>
              <a:latin typeface="+mn-lt"/>
              <a:ea typeface="+mn-ea"/>
              <a:cs typeface="+mn-cs"/>
            </a:rPr>
            <a:t>These spreadsheets include Bid Tabulations for various airport improvement projects that were received within the 2023 calendar year. The Bid Tabulations were collected from airport consultants and do not represent all airport improvement projects conducted in the State during each calendar year. The Bid Tabulations shall serve as historical record only.  The Aeronautics Division makes no commitment or guarantee that estimates based on these historical prices will suffice as the Engineer’s Estimate nor result in award of any contract.  </a:t>
          </a:r>
        </a:p>
        <a:p>
          <a:endParaRPr lang="en-US" sz="1100" b="0" i="0">
            <a:solidFill>
              <a:schemeClr val="tx1"/>
            </a:solidFill>
            <a:effectLst/>
            <a:latin typeface="+mn-lt"/>
            <a:ea typeface="+mn-ea"/>
            <a:cs typeface="+mn-cs"/>
          </a:endParaRPr>
        </a:p>
        <a:p>
          <a:r>
            <a:rPr lang="en-US" sz="1100" b="0" i="1">
              <a:solidFill>
                <a:schemeClr val="tx1"/>
              </a:solidFill>
              <a:effectLst/>
              <a:latin typeface="+mn-lt"/>
              <a:ea typeface="+mn-ea"/>
              <a:cs typeface="+mn-cs"/>
            </a:rPr>
            <a:t>Unit prices are specific to each contract and can vary widely depending on various factors.  When developing an Opinion of Probable Cost for a project, it is recommended to develop cost-based estimates which include all costs for material, labor, supplies, equipment, subcontracts, overhead, markup, contract bonding, permitting, and taxes which are reasonably required to complete the work.</a:t>
          </a:r>
          <a:endParaRPr lang="en-US" sz="1100" b="0" i="0">
            <a:solidFill>
              <a:schemeClr val="tx1"/>
            </a:solidFill>
            <a:effectLst/>
            <a:latin typeface="+mn-lt"/>
            <a:ea typeface="+mn-ea"/>
            <a:cs typeface="+mn-cs"/>
          </a:endParaRPr>
        </a:p>
        <a:p>
          <a:endParaRPr lang="en-US" sz="1100"/>
        </a:p>
      </xdr:txBody>
    </xdr:sp>
    <xdr:clientData/>
  </xdr:oneCellAnchor>
  <xdr:twoCellAnchor>
    <xdr:from>
      <xdr:col>6</xdr:col>
      <xdr:colOff>377825</xdr:colOff>
      <xdr:row>12</xdr:row>
      <xdr:rowOff>9524</xdr:rowOff>
    </xdr:from>
    <xdr:to>
      <xdr:col>11</xdr:col>
      <xdr:colOff>377825</xdr:colOff>
      <xdr:row>15</xdr:row>
      <xdr:rowOff>0</xdr:rowOff>
    </xdr:to>
    <xdr:sp macro="" textlink="">
      <xdr:nvSpPr>
        <xdr:cNvPr id="2" name="TextBox 1">
          <a:extLst>
            <a:ext uri="{FF2B5EF4-FFF2-40B4-BE49-F238E27FC236}">
              <a16:creationId xmlns:a16="http://schemas.microsoft.com/office/drawing/2014/main" id="{B5D7DA19-6F73-46F3-9B0B-7051B00C3522}"/>
            </a:ext>
          </a:extLst>
        </xdr:cNvPr>
        <xdr:cNvSpPr txBox="1"/>
      </xdr:nvSpPr>
      <xdr:spPr>
        <a:xfrm>
          <a:off x="13369925" y="2295524"/>
          <a:ext cx="3048000" cy="5334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Right</a:t>
          </a:r>
          <a:r>
            <a:rPr lang="en-US" sz="1100" b="0" baseline="0"/>
            <a:t>-click any sheet below and u</a:t>
          </a:r>
          <a:r>
            <a:rPr lang="en-US" sz="1100" b="0"/>
            <a:t>nhide</a:t>
          </a:r>
          <a:r>
            <a:rPr lang="en-US" sz="1100" b="0" baseline="0"/>
            <a:t> "GUIDE" sheet for Bid Tabulations Formatting Guide.</a:t>
          </a:r>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B0C2CC9-E570-4AA1-A223-0FFB24E880F7}"/>
            </a:ext>
          </a:extLst>
        </xdr:cNvPr>
        <xdr:cNvSpPr/>
      </xdr:nvSpPr>
      <xdr:spPr>
        <a:xfrm>
          <a:off x="0" y="101600"/>
          <a:ext cx="1282700" cy="260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1285875</xdr:colOff>
      <xdr:row>1</xdr:row>
      <xdr:rowOff>85725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00570E6-DF80-46B4-A3AD-CC52868066B8}"/>
            </a:ext>
          </a:extLst>
        </xdr:cNvPr>
        <xdr:cNvSpPr/>
      </xdr:nvSpPr>
      <xdr:spPr>
        <a:xfrm>
          <a:off x="0" y="0"/>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04C93C6-B015-4896-86D1-1579A7138C6A}"/>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78ED3608-30CE-4006-B622-3333F405174D}"/>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C424C04F-5796-4DBE-8477-A8093A02BC07}"/>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43842BB9-C74D-489F-B5A4-5193A3E7BDE2}"/>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104775</xdr:rowOff>
    </xdr:from>
    <xdr:to>
      <xdr:col>0</xdr:col>
      <xdr:colOff>1285875</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CB61460-8BF0-4F24-89A1-B85F0A43B033}"/>
            </a:ext>
          </a:extLst>
        </xdr:cNvPr>
        <xdr:cNvSpPr/>
      </xdr:nvSpPr>
      <xdr:spPr>
        <a:xfrm>
          <a:off x="0" y="104775"/>
          <a:ext cx="12858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RETURN</a:t>
          </a:r>
          <a:r>
            <a:rPr lang="en-US" sz="1100" b="1" baseline="0"/>
            <a:t> TO INDEX</a:t>
          </a:r>
          <a:endParaRPr lang="en-US"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C578E8C-5EA4-42CE-90BF-BA4CBCE3D372}" name="Table1119" displayName="Table1119" ref="U25:AE28" totalsRowShown="0" headerRowDxfId="455" dataDxfId="454">
  <autoFilter ref="U25:AE28" xr:uid="{BC578E8C-5EA4-42CE-90BF-BA4CBCE3D372}"/>
  <tableColumns count="11">
    <tableColumn id="1" xr3:uid="{E12F343C-1C94-4025-9B86-2AAFE2718FE0}" name="ITEM NO." dataDxfId="453"/>
    <tableColumn id="2" xr3:uid="{52255B2B-3046-404C-99BD-44D9DE61FE15}" name="SPEC NO." dataDxfId="452"/>
    <tableColumn id="3" xr3:uid="{D06BE88E-731F-4500-B378-49031F707773}" name="DESCRIPTION" dataDxfId="451"/>
    <tableColumn id="4" xr3:uid="{3D7683F9-B168-4458-912B-953D8D42970F}" name="UNIT" dataDxfId="450"/>
    <tableColumn id="5" xr3:uid="{99FDE522-A2E2-4145-92D1-3C154B9287DC}" name="ESTIMATED QUANTITY" dataDxfId="449"/>
    <tableColumn id="6" xr3:uid="{4B417053-BB8D-495B-B590-D42DECE55731}" name="UNIT COST" dataDxfId="448"/>
    <tableColumn id="7" xr3:uid="{006687D4-16AF-4315-8D4E-2B4B7A795D6F}" name="EXTENDED TOTAL" dataDxfId="447"/>
    <tableColumn id="8" xr3:uid="{DB21B40A-29DA-404E-A144-9E583CD11C3C}" name="UNIT COST2" dataDxfId="446"/>
    <tableColumn id="9" xr3:uid="{2B9E7FDC-8FAA-4E04-BEC0-B8BDBB0543B3}" name="EXTENDED TOTAL2" dataDxfId="445"/>
    <tableColumn id="10" xr3:uid="{308116BC-09E4-4F5F-83A4-81E079C984C4}" name="UNIT COST3" dataDxfId="444"/>
    <tableColumn id="11" xr3:uid="{B480A85E-AF7B-4912-BF74-97B37D3D0CC7}" name="EXTENDED TOTAL3" dataDxfId="443"/>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35ACA9-85CC-4AC6-9F7B-12FDABBEA234}" name="Table001__Page_2_33" displayName="Table001__Page_2_33" ref="A13:K29" totalsRowShown="0" headerRowDxfId="345" dataDxfId="344">
  <autoFilter ref="A13:K29" xr:uid="{A848FC9D-D49E-46C1-AF30-3173AED9AB8E}"/>
  <sortState xmlns:xlrd2="http://schemas.microsoft.com/office/spreadsheetml/2017/richdata2" ref="A14:K29">
    <sortCondition ref="A13:A29"/>
  </sortState>
  <tableColumns count="11">
    <tableColumn id="1" xr3:uid="{7095A18A-4052-4379-9735-53A088251A76}" name="ITEM NO." dataDxfId="343"/>
    <tableColumn id="2" xr3:uid="{732E8206-0E60-47AF-9198-31C607057F9A}" name="SPEC. NO." dataDxfId="342"/>
    <tableColumn id="3" xr3:uid="{EF1F22CC-E9EA-4BDF-82F6-9798ECE3982B}" name="DESCRIPTION" dataDxfId="341"/>
    <tableColumn id="4" xr3:uid="{20095F7F-50E8-4888-8586-4320E6D4CCFF}" name="UNIT" dataDxfId="340"/>
    <tableColumn id="5" xr3:uid="{9ACF3166-63E9-45D3-B799-056CB54D0FF3}" name="ESTIMATED QUANTITY" dataDxfId="339"/>
    <tableColumn id="6" xr3:uid="{5CF92CAB-F885-4062-B7E7-914C128E957A}" name="UNIT COST" dataDxfId="338"/>
    <tableColumn id="7" xr3:uid="{BA515FA1-B582-4913-AE4B-25B5B51DA962}" name="EXTENDED TOTAL" dataDxfId="337"/>
    <tableColumn id="8" xr3:uid="{3F4F7C87-2A57-412C-86AC-A87F378921B3}" name="UNIT COST2" dataDxfId="336"/>
    <tableColumn id="9" xr3:uid="{21B66375-6CC6-4030-9341-8608972BD14D}" name="EXTENDED TOTAL2" dataDxfId="335"/>
    <tableColumn id="10" xr3:uid="{6C27C996-9ABE-4D33-B3BD-5BF590A5AAC9}" name="UNIT COST3" dataDxfId="334"/>
    <tableColumn id="11" xr3:uid="{8BBC794D-AB3E-4E91-BFCD-BDADDC6CEA51}" name="EXTENDED TOTAL3" dataDxfId="333"/>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8602A5-6C88-4558-9938-6D5547CEE592}" name="Table001__Page_2_334" displayName="Table001__Page_2_334" ref="A37:K40" totalsRowShown="0" headerRowDxfId="332" dataDxfId="331">
  <autoFilter ref="A37:K40" xr:uid="{E18602A5-6C88-4558-9938-6D5547CEE592}"/>
  <sortState xmlns:xlrd2="http://schemas.microsoft.com/office/spreadsheetml/2017/richdata2" ref="A37:K40">
    <sortCondition ref="A13:A29"/>
  </sortState>
  <tableColumns count="11">
    <tableColumn id="1" xr3:uid="{2312E7F8-285B-4983-A372-2996FB8E4C3D}" name="ITEM NO." dataDxfId="330"/>
    <tableColumn id="2" xr3:uid="{EDE95175-6AEC-462B-93A6-087281D6E293}" name="SPEC. NO." dataDxfId="329"/>
    <tableColumn id="3" xr3:uid="{B96E125C-0466-4293-A957-0EE6C3154CD8}" name="DESCRIPTION" dataDxfId="328"/>
    <tableColumn id="4" xr3:uid="{2457944F-64A3-47D6-ADB3-E9E4781D4877}" name="UNIT" dataDxfId="327"/>
    <tableColumn id="5" xr3:uid="{A1F54767-19ED-4C16-B441-817BC28A5FC4}" name="ESTIMATED QUANTITY" dataDxfId="326"/>
    <tableColumn id="6" xr3:uid="{83E2E248-E9ED-46CB-AB05-F921C1AF79A8}" name="UNIT COST" dataDxfId="325"/>
    <tableColumn id="7" xr3:uid="{88875F8A-C7B1-4B14-8566-90C9AE1D9672}" name="EXTENDED TOTAL" dataDxfId="324"/>
    <tableColumn id="8" xr3:uid="{89F859CD-91FD-4BF5-B8DD-04EE486B3D18}" name="UNIT COST2" dataDxfId="323"/>
    <tableColumn id="9" xr3:uid="{AE6D4005-458E-41F9-B157-FD7813CC0619}" name="EXTENDED TOTAL2" dataDxfId="322"/>
    <tableColumn id="10" xr3:uid="{BEBF5977-AFCD-44F4-A246-7F10A4A4455F}" name="UNIT COST3" dataDxfId="321"/>
    <tableColumn id="11" xr3:uid="{7FD31130-D174-417E-B6A3-529A3438BA98}" name="EXTENDED TOTAL3" dataDxfId="320"/>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2A02947-43B1-4ED5-A708-DF8AFC5F42EE}" name="Table001__Page_2_335" displayName="Table001__Page_2_335" ref="A13:K37" totalsRowShown="0" headerRowDxfId="319" dataDxfId="318">
  <autoFilter ref="A13:K37" xr:uid="{A848FC9D-D49E-46C1-AF30-3173AED9AB8E}"/>
  <sortState xmlns:xlrd2="http://schemas.microsoft.com/office/spreadsheetml/2017/richdata2" ref="A14:K37">
    <sortCondition ref="A13:A37"/>
  </sortState>
  <tableColumns count="11">
    <tableColumn id="1" xr3:uid="{F3F38D6E-AC11-48ED-B21E-185BB6440D9B}" name="ITEM NO." dataDxfId="317"/>
    <tableColumn id="2" xr3:uid="{5A6F023C-3B61-4A47-86B1-5584C59CB69E}" name="SPEC. NO." dataDxfId="316"/>
    <tableColumn id="3" xr3:uid="{48B97F17-16F2-492D-8366-77E8D8212F19}" name="DESCRIPTION" dataDxfId="315"/>
    <tableColumn id="4" xr3:uid="{BB8BE61A-2C1D-4BAE-AC05-C687707E3E5A}" name="UNIT" dataDxfId="314"/>
    <tableColumn id="5" xr3:uid="{57F29C81-99C7-4314-B159-0F9988B9D353}" name="ESTIMATED QUANTITY" dataDxfId="313"/>
    <tableColumn id="6" xr3:uid="{4D629E69-E321-480E-8A41-5E0C199CD23F}" name="UNIT COST" dataDxfId="312"/>
    <tableColumn id="7" xr3:uid="{80FCD1DB-563A-4624-B773-AFDB33E423C3}" name="EXTENDED TOTAL" dataDxfId="311"/>
    <tableColumn id="8" xr3:uid="{6C0F2BF4-4728-4E59-B945-3C8E127B931B}" name="UNIT COST2" dataDxfId="310"/>
    <tableColumn id="9" xr3:uid="{DB59572F-96B8-45FD-AAC7-CC6DAE907145}" name="EXTENDED TOTAL2" dataDxfId="309"/>
    <tableColumn id="10" xr3:uid="{6A833C5E-8A3F-403F-B1DD-3DC31E734FFD}" name="UNIT COST3" dataDxfId="308"/>
    <tableColumn id="11" xr3:uid="{3999072C-4631-4B4E-9779-7A81461C06DE}" name="EXTENDED TOTAL3" dataDxfId="307"/>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0B38EB-A83A-410E-98F6-E57D9ACCAEA3}" name="Table001__Page_2_3346" displayName="Table001__Page_2_3346" ref="A41:K42" totalsRowShown="0" headerRowDxfId="306" dataDxfId="305">
  <autoFilter ref="A41:K42" xr:uid="{E18602A5-6C88-4558-9938-6D5547CEE592}"/>
  <sortState xmlns:xlrd2="http://schemas.microsoft.com/office/spreadsheetml/2017/richdata2" ref="A42:K42">
    <sortCondition ref="A13:A37"/>
  </sortState>
  <tableColumns count="11">
    <tableColumn id="1" xr3:uid="{8C642E25-0AA3-4212-9B31-5E9FE6889E45}" name="ITEM NO." dataDxfId="304"/>
    <tableColumn id="2" xr3:uid="{55AA83E7-5373-4FE0-BBC3-43077970A32E}" name="SPEC. NO." dataDxfId="303"/>
    <tableColumn id="3" xr3:uid="{8597A6FF-9212-4072-A834-6DA17B4497A2}" name="DESCRIPTION" dataDxfId="302"/>
    <tableColumn id="4" xr3:uid="{03A937B8-C6A2-47D6-BF0D-2AC0A51E0977}" name="UNIT" dataDxfId="301"/>
    <tableColumn id="5" xr3:uid="{CE84BA94-3F4E-44CD-8A41-615223FFD726}" name="ESTIMATED QUANTITY" dataDxfId="300"/>
    <tableColumn id="6" xr3:uid="{E1FF8263-DF58-431F-8A4F-C769EED0E44E}" name="UNIT COST" dataDxfId="299"/>
    <tableColumn id="7" xr3:uid="{BB6D38A0-7F91-49C9-8AAB-888BB25E916D}" name="EXTENDED TOTAL" dataDxfId="298"/>
    <tableColumn id="8" xr3:uid="{946980B0-01FB-4C2F-9D59-B592BE33C996}" name="UNIT COST2" dataDxfId="297"/>
    <tableColumn id="9" xr3:uid="{4C9726B0-451C-4D5D-86F1-56053497B8F1}" name="EXTENDED TOTAL2" dataDxfId="296"/>
    <tableColumn id="10" xr3:uid="{022806B2-1CD5-45B6-99F3-588DD266178F}" name="UNIT COST3" dataDxfId="295"/>
    <tableColumn id="11" xr3:uid="{75293317-A17C-4B36-84DB-83321F1528A0}" name="EXTENDED TOTAL3" dataDxfId="294"/>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C02A406-2379-42A6-9ADA-DE17D2B31853}" name="Table001__Page_2_38" displayName="Table001__Page_2_38" ref="A13:K53" totalsRowShown="0" headerRowDxfId="293" dataDxfId="292">
  <autoFilter ref="A13:K53" xr:uid="{A848FC9D-D49E-46C1-AF30-3173AED9AB8E}"/>
  <sortState xmlns:xlrd2="http://schemas.microsoft.com/office/spreadsheetml/2017/richdata2" ref="A14:K53">
    <sortCondition ref="A13:A53"/>
  </sortState>
  <tableColumns count="11">
    <tableColumn id="1" xr3:uid="{10C3ACD9-E543-4979-B9E4-84C04B8E8F7C}" name="ITEM NO." dataDxfId="291"/>
    <tableColumn id="2" xr3:uid="{9120E96C-0BE8-4A14-967A-553FFE3F85D2}" name="SPEC. NO." dataDxfId="290"/>
    <tableColumn id="3" xr3:uid="{C5980F82-7B1D-4997-95D8-DA91D1D78A8F}" name="DESCRIPTION" dataDxfId="289"/>
    <tableColumn id="4" xr3:uid="{695B5D98-8354-407A-8592-8206106DA55F}" name="UNIT" dataDxfId="288"/>
    <tableColumn id="5" xr3:uid="{79D70D58-64AF-4A70-9334-CF37D4BBDFF2}" name="ESTIMATED QUANTITY" dataDxfId="287"/>
    <tableColumn id="6" xr3:uid="{2791CFBC-FF9D-4357-90C6-50866D079A1E}" name="UNIT COST" dataDxfId="286"/>
    <tableColumn id="7" xr3:uid="{3F414501-1E26-43A0-B2A6-A2E2317C15D8}" name="EXTENDED TOTAL" dataDxfId="285"/>
    <tableColumn id="8" xr3:uid="{B8E64FAF-AAC8-4FD0-BB1D-212E49543D48}" name="UNIT COST " dataDxfId="284"/>
    <tableColumn id="9" xr3:uid="{39972675-84D5-4FC2-8D50-5D53794062E8}" name="EXTENDED TOTAL " dataDxfId="283"/>
    <tableColumn id="10" xr3:uid="{C0B27397-785B-468E-BA47-7F0BE294533D}" name="UNIT COST  " dataDxfId="282"/>
    <tableColumn id="11" xr3:uid="{0BEFD1CF-8233-4D7E-B326-5EAB1C57DB39}" name="EXTENDED TOTAL  " dataDxfId="281">
      <calculatedColumnFormula>Table001__Page_2_38[[#This Row],[UNIT COST  ]]*Table001__Page_2_38[[#This Row],[ESTIMATED QUANTITY]]</calculatedColumnFormula>
    </tableColumn>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43B2A54-A950-44AE-AC7C-9036BA255E16}" name="Table001__Page_2_3810" displayName="Table001__Page_2_3810" ref="A62:K104" totalsRowShown="0" headerRowDxfId="280" dataDxfId="279">
  <autoFilter ref="A62:K104" xr:uid="{543B2A54-A950-44AE-AC7C-9036BA255E16}"/>
  <sortState xmlns:xlrd2="http://schemas.microsoft.com/office/spreadsheetml/2017/richdata2" ref="A63:K104">
    <sortCondition ref="A13:A53"/>
  </sortState>
  <tableColumns count="11">
    <tableColumn id="1" xr3:uid="{01C94A3A-3CEA-4F8B-B2FA-946631FE86CA}" name="ITEM NO." dataDxfId="278"/>
    <tableColumn id="2" xr3:uid="{6545FC10-0464-4A9D-A1E7-E9DFBB3049BF}" name="SPEC. NO." dataDxfId="277"/>
    <tableColumn id="3" xr3:uid="{66FD115B-82C0-4BBD-8ACC-DDD372BCFF53}" name="DESCRIPTION" dataDxfId="276"/>
    <tableColumn id="4" xr3:uid="{CDFD428E-5232-4495-93B0-37718DA50BAA}" name="UNIT" dataDxfId="275"/>
    <tableColumn id="5" xr3:uid="{EBC13FB0-232B-4D32-ADD9-96324DB61AC3}" name="ESTIMATED QUANTITY" dataDxfId="274"/>
    <tableColumn id="6" xr3:uid="{74C74676-9305-4BE3-A129-4E16C0BF2930}" name="UNIT COST" dataDxfId="273"/>
    <tableColumn id="7" xr3:uid="{D80D72CA-6905-4803-B8FB-0FAFEC0F1A3F}" name="EXTENDED TOTAL" dataDxfId="272"/>
    <tableColumn id="8" xr3:uid="{5383A468-EE01-4CDC-B437-29F4EC4BF324}" name="UNIT COST " dataDxfId="271"/>
    <tableColumn id="9" xr3:uid="{4AC8C841-4122-474C-9660-BDDBD7D029EA}" name="EXTENDED TOTAL " dataDxfId="270"/>
    <tableColumn id="10" xr3:uid="{EA9C87B3-2356-456B-8464-473EC8663139}" name="UNIT COST  " dataDxfId="269"/>
    <tableColumn id="11" xr3:uid="{8ABAE92A-C722-4858-ADF9-05363DD40429}" name="EXTENDED TOTAL  " dataDxfId="268"/>
  </tableColumns>
  <tableStyleInfo name="TableStyleMedium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43E2DC-767F-47D7-B82C-10C734DB4F15}" name="Table001__Page_2_381017" displayName="Table001__Page_2_381017" ref="A112:K155" totalsRowShown="0" headerRowDxfId="267" dataDxfId="266">
  <autoFilter ref="A112:K155" xr:uid="{BE43E2DC-767F-47D7-B82C-10C734DB4F15}"/>
  <sortState xmlns:xlrd2="http://schemas.microsoft.com/office/spreadsheetml/2017/richdata2" ref="A113:K155">
    <sortCondition ref="A13:A53"/>
  </sortState>
  <tableColumns count="11">
    <tableColumn id="1" xr3:uid="{78D0AF6E-4354-4013-83EE-256AD8C6CF7B}" name="ITEM NO." dataDxfId="265"/>
    <tableColumn id="2" xr3:uid="{15AD06D1-34AF-4CE8-A6EE-3D8F1E9C6278}" name="SPEC. NO." dataDxfId="264"/>
    <tableColumn id="3" xr3:uid="{DC0C7BAC-698F-4A9D-A178-4F017AEA8061}" name="DESCRIPTION" dataDxfId="263"/>
    <tableColumn id="4" xr3:uid="{B332DE9C-4CA3-4BA0-B038-532BCDCA9BA2}" name="UNIT" dataDxfId="262"/>
    <tableColumn id="5" xr3:uid="{EE1771BF-5826-4744-ADB6-DAC5378BF6EF}" name="ESTIMATED QUANTITY" dataDxfId="261"/>
    <tableColumn id="6" xr3:uid="{95059D48-1027-4185-8BE4-54C9E113B8B0}" name="UNIT COST" dataDxfId="260"/>
    <tableColumn id="7" xr3:uid="{51EBCD0A-5494-4EC1-8179-2326BAB90359}" name="EXTENDED TOTAL" dataDxfId="259"/>
    <tableColumn id="8" xr3:uid="{9C658351-95A3-4EB5-AEAB-814111E9FBAF}" name="UNIT COST " dataDxfId="258"/>
    <tableColumn id="9" xr3:uid="{D2EFACF2-3D27-4C3B-93B1-31197183E25B}" name="EXTENDED TOTAL " dataDxfId="257"/>
    <tableColumn id="10" xr3:uid="{54075B57-B186-4E05-AAF9-EF4EFC441D28}" name="UNIT COST  " dataDxfId="256"/>
    <tableColumn id="11" xr3:uid="{25FE2843-7461-4F77-8B31-C50C28D67D33}" name="EXTENDED TOTAL  " dataDxfId="255">
      <calculatedColumnFormula>Table001__Page_2_381017[[#This Row],[UNIT COST  ]]*Table001__Page_2_381017[[#This Row],[ESTIMATED QUANTITY]]</calculatedColumnFormula>
    </tableColumn>
  </tableColumns>
  <tableStyleInfo name="TableStyleMedium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E7217CD-AE81-4A48-A1C8-43833FFC9114}" name="Table001__Page_2_38101720" displayName="Table001__Page_2_38101720" ref="A163:K174" totalsRowShown="0" headerRowDxfId="254" dataDxfId="253">
  <autoFilter ref="A163:K174" xr:uid="{FE7217CD-AE81-4A48-A1C8-43833FFC9114}"/>
  <sortState xmlns:xlrd2="http://schemas.microsoft.com/office/spreadsheetml/2017/richdata2" ref="A164:K174">
    <sortCondition ref="A13:A53"/>
  </sortState>
  <tableColumns count="11">
    <tableColumn id="1" xr3:uid="{B9963796-ABA0-469E-ACDD-37918A352067}" name="ITEM NO." dataDxfId="252"/>
    <tableColumn id="2" xr3:uid="{792EA568-1C12-423A-B545-61653776A8B6}" name="SPEC. NO." dataDxfId="251"/>
    <tableColumn id="3" xr3:uid="{6AB73B54-C412-400F-A56D-3F55A13BC962}" name="DESCRIPTION" dataDxfId="250"/>
    <tableColumn id="4" xr3:uid="{2A08EAA0-0D36-4111-AFF0-B50FAC26F762}" name="UNIT" dataDxfId="249"/>
    <tableColumn id="5" xr3:uid="{F984E97A-3948-4942-BB76-B1E31D16F3C3}" name="ESTIMATED QUANTITY" dataDxfId="248"/>
    <tableColumn id="6" xr3:uid="{5F5FB271-0D65-433C-A052-AC4D363B35D5}" name="UNIT COST" dataDxfId="247"/>
    <tableColumn id="7" xr3:uid="{F874EC8B-F483-4397-8774-EE14961BF047}" name="EXTENDED TOTAL" dataDxfId="246"/>
    <tableColumn id="8" xr3:uid="{FE0E83A6-0364-4397-8933-220751F68321}" name="UNIT COST " dataDxfId="245"/>
    <tableColumn id="9" xr3:uid="{AEF67BB0-B37D-4C9A-B014-231F906D3CD8}" name="EXTENDED TOTAL " dataDxfId="244"/>
    <tableColumn id="10" xr3:uid="{7A537A79-7298-4396-A91E-F28416390627}" name="UNIT COST  " dataDxfId="243"/>
    <tableColumn id="11" xr3:uid="{46237865-CD1B-489F-9FBD-F5A05722E1AE}" name="EXTENDED TOTAL  " dataDxfId="242">
      <calculatedColumnFormula>Table001__Page_2_38101720[[#This Row],[UNIT COST  ]]*Table001__Page_2_38101720[[#This Row],[ESTIMATED QUANTITY]]</calculatedColumnFormula>
    </tableColumn>
  </tableColumns>
  <tableStyleInfo name="TableStyleMedium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7F282F7-CE96-4A02-8DBF-6D7913435868}" name="Table001__Page_2_3357" displayName="Table001__Page_2_3357" ref="A13:O19" totalsRowShown="0" headerRowDxfId="241" dataDxfId="240">
  <autoFilter ref="A13:O19" xr:uid="{A848FC9D-D49E-46C1-AF30-3173AED9AB8E}"/>
  <sortState xmlns:xlrd2="http://schemas.microsoft.com/office/spreadsheetml/2017/richdata2" ref="A14:M19">
    <sortCondition ref="A13:A19"/>
  </sortState>
  <tableColumns count="15">
    <tableColumn id="1" xr3:uid="{D275292A-8E41-4686-9145-B56E3B5344AF}" name="ITEM NO." dataDxfId="239"/>
    <tableColumn id="2" xr3:uid="{58883545-FBBB-4F1F-B2BC-2BA5492FA02B}" name="SPEC. NO." dataDxfId="238"/>
    <tableColumn id="3" xr3:uid="{5ADC288B-348E-4409-A24A-10FD2AC54CA8}" name="DESCRIPTION" dataDxfId="237"/>
    <tableColumn id="4" xr3:uid="{67D041DA-0C82-427A-8122-2B62CBA3CDD6}" name="UNIT" dataDxfId="236"/>
    <tableColumn id="5" xr3:uid="{C4AAC8F3-4B87-42E8-A6CB-4E29C9F298C5}" name="ESTIMATED QUANTITY" dataDxfId="235"/>
    <tableColumn id="15" xr3:uid="{79DFAE48-679C-4533-842B-98DB95E2C4B4}" name="UNIT COST" dataDxfId="234"/>
    <tableColumn id="16" xr3:uid="{8977A815-3B66-4C3E-9A5A-9F4B9D0C383D}" name="EXTENDED TOTAL" dataDxfId="233"/>
    <tableColumn id="6" xr3:uid="{8468AC56-449D-4EF8-9D7B-D30976439E04}" name="UNIT COST5" dataDxfId="232"/>
    <tableColumn id="7" xr3:uid="{796497C3-06DD-4E9D-B9A8-5D564B4ED784}" name="EXTENDED TOTAL5" dataDxfId="231"/>
    <tableColumn id="8" xr3:uid="{1C59118C-3D03-462F-BFBC-FD67A7F5123C}" name="UNIT COST2" dataDxfId="230"/>
    <tableColumn id="9" xr3:uid="{3C54AA0B-876C-44F3-A079-382424680DDC}" name="EXTENDED TOTAL2" dataDxfId="229"/>
    <tableColumn id="10" xr3:uid="{629F839C-0A55-454B-99FB-4DDB22BE8599}" name="UNIT COST3" dataDxfId="228"/>
    <tableColumn id="11" xr3:uid="{446AA44E-CA62-47EB-8B1B-2DFB1B1005DD}" name="EXTENDED TOTAL3" dataDxfId="227"/>
    <tableColumn id="14" xr3:uid="{9EE612EE-62C3-42CE-A5EA-DBAC95C0C09D}" name="UNIT COST4" dataDxfId="226"/>
    <tableColumn id="12" xr3:uid="{DD664F16-3FE5-460B-B55A-B168C4F2A95E}" name="EXTENDED TOTAL4" dataDxfId="225"/>
  </tableColumns>
  <tableStyleInfo name="TableStyleMedium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0B89B1-59EA-4FD4-9DAB-EBDBF007124C}" name="Table001__Page_2_31613" displayName="Table001__Page_2_31613" ref="A13:O41" totalsRowShown="0" headerRowDxfId="224" dataDxfId="223">
  <autoFilter ref="A13:O41" xr:uid="{A848FC9D-D49E-46C1-AF30-3173AED9AB8E}"/>
  <sortState xmlns:xlrd2="http://schemas.microsoft.com/office/spreadsheetml/2017/richdata2" ref="A14:M41">
    <sortCondition ref="A13:A41"/>
  </sortState>
  <tableColumns count="15">
    <tableColumn id="1" xr3:uid="{E7FC4B0C-F036-4166-86CE-8503117C121A}" name="ITEM NO." dataDxfId="222"/>
    <tableColumn id="2" xr3:uid="{A247BE27-226C-4FE9-A3F8-EDB3BD0AF8B1}" name="SPEC. NO." dataDxfId="221"/>
    <tableColumn id="3" xr3:uid="{CAF7CE50-94BC-4551-8D77-C2A6073E2FDF}" name="DESCRIPTION" dataDxfId="220"/>
    <tableColumn id="4" xr3:uid="{F3CFB0A3-E596-42E6-9698-324C395C16A3}" name="UNIT" dataDxfId="219"/>
    <tableColumn id="5" xr3:uid="{DCA22757-EFB6-4923-830B-6F8C881A0C3F}" name="ESTIMATED QUANTITY" dataDxfId="218"/>
    <tableColumn id="6" xr3:uid="{9F37D14B-BCF0-49A5-ABA6-FAB0B1EEA290}" name="UNIT COST" dataDxfId="217"/>
    <tableColumn id="7" xr3:uid="{B904057C-B416-4A01-830A-541C61F3CDF7}" name="EXTENDED TOTAL" dataDxfId="216"/>
    <tableColumn id="8" xr3:uid="{5AE8B6A2-20A2-490E-BAD7-86B88BAD721D}" name="UNIT COST2" dataDxfId="215"/>
    <tableColumn id="9" xr3:uid="{98C5F4A1-4B5D-4AA9-8B7A-6EA3953B88DE}" name="EXTENDED TOTAL2" dataDxfId="214"/>
    <tableColumn id="10" xr3:uid="{043E6A64-7FFB-4999-9DF8-5C537B95A16D}" name="UNIT COST3" dataDxfId="213"/>
    <tableColumn id="11" xr3:uid="{7FF5CB3E-5D4B-463E-BEAF-E738448A5B82}" name="EXTENDED TOTAL3" dataDxfId="212"/>
    <tableColumn id="12" xr3:uid="{A966D663-442A-42BF-B885-B645FBC26CE1}" name="UNIT COST4" dataDxfId="211"/>
    <tableColumn id="13" xr3:uid="{A22F09DD-13AF-4FF3-AF3A-AB0F2BBF69EE}" name="EXTENDED TOTAL4" dataDxfId="210"/>
    <tableColumn id="14" xr3:uid="{E1A61C76-29FA-42E4-9F13-EA700BF21C09}" name="UNIT COST5" dataDxfId="209"/>
    <tableColumn id="15" xr3:uid="{55F4464C-862F-4937-B431-7F9D2B547EBC}" name="EXTENDED TOTAL5" dataDxfId="20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DD29A05-0A56-4D1E-AAFC-28D16B67A350}" name="Table17" displayName="Table17" ref="A1:F16" totalsRowShown="0" headerRowDxfId="442" dataDxfId="441">
  <autoFilter ref="A1:F16" xr:uid="{0DD29A05-0A56-4D1E-AAFC-28D16B67A350}"/>
  <sortState xmlns:xlrd2="http://schemas.microsoft.com/office/spreadsheetml/2017/richdata2" ref="A2:F16">
    <sortCondition ref="A1:A16"/>
  </sortState>
  <tableColumns count="6">
    <tableColumn id="1" xr3:uid="{000332EE-8B1F-466D-B5A4-0E537D90C3EB}" name="ID and Link to Sheet" dataDxfId="440" dataCellStyle="Hyperlink"/>
    <tableColumn id="4" xr3:uid="{41297A2D-D86B-4FF8-B523-3698E884A8C0}" name="City" dataDxfId="439" dataCellStyle="Hyperlink"/>
    <tableColumn id="3" xr3:uid="{6D86893B-9E88-48FC-96EB-1F33DF0F8C20}" name="Airport" dataDxfId="438"/>
    <tableColumn id="5" xr3:uid="{7FC147DE-2482-48A4-B84D-BCEDBFDC5132}" name="Project Description" dataDxfId="437"/>
    <tableColumn id="2" xr3:uid="{BF6D9113-6236-4F8D-8969-24804E64371C}" name="TAD #" dataDxfId="436"/>
    <tableColumn id="6" xr3:uid="{0459B8AC-7673-408E-9197-D1877B7D7426}" name="Awarded Contractor" dataDxfId="435"/>
  </tableColumns>
  <tableStyleInfo name="TableStyleMedium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3C36380-825F-454E-9FAF-506BF9BEDBF5}" name="Table001__Page_2_3162221" displayName="Table001__Page_2_3162221" ref="A45:O48" totalsRowShown="0" headerRowDxfId="207" dataDxfId="206">
  <autoFilter ref="A45:O48" xr:uid="{5F9D6C68-DFD4-4ABB-8F1B-6F72173D5A6D}"/>
  <sortState xmlns:xlrd2="http://schemas.microsoft.com/office/spreadsheetml/2017/richdata2" ref="A46:M48">
    <sortCondition ref="A13:A41"/>
  </sortState>
  <tableColumns count="15">
    <tableColumn id="1" xr3:uid="{7B641472-6105-4D07-A7C3-42E199AA633C}" name="ITEM NO." dataDxfId="205"/>
    <tableColumn id="2" xr3:uid="{913B5000-DD1B-4174-BBA0-322B8A30D5BB}" name="SPEC. NO." dataDxfId="204"/>
    <tableColumn id="3" xr3:uid="{BA81B4C7-64D3-4BF3-9123-8C7F467CC449}" name="DESCRIPTION" dataDxfId="203"/>
    <tableColumn id="4" xr3:uid="{72793337-57CD-402A-91D0-7A91F20342E1}" name="UNIT" dataDxfId="202"/>
    <tableColumn id="5" xr3:uid="{019436A9-8B54-499F-A92F-F78F30F63874}" name="ESTIMATED QUANTITY" dataDxfId="201"/>
    <tableColumn id="6" xr3:uid="{E802AA9F-AB46-46DF-B264-BDE5684F970D}" name="UNIT COST" dataDxfId="200"/>
    <tableColumn id="7" xr3:uid="{B42C5339-D50A-4C68-B286-FE24F028F623}" name="EXTENDED TOTAL" dataDxfId="199"/>
    <tableColumn id="8" xr3:uid="{E097EEDF-9A64-4249-94B5-693192B73920}" name="UNIT COST2" dataDxfId="198"/>
    <tableColumn id="9" xr3:uid="{BD910D3D-62FE-4E32-A298-7186422FD283}" name="EXTENDED TOTAL2" dataDxfId="197"/>
    <tableColumn id="10" xr3:uid="{DE39754E-E0CC-4358-94DB-F6AE2B884C78}" name="UNIT COST3" dataDxfId="196"/>
    <tableColumn id="11" xr3:uid="{CDA9C61B-4112-4E1B-8363-7BB27E37364A}" name="EXTENDED TOTAL3" dataDxfId="195"/>
    <tableColumn id="12" xr3:uid="{67015593-8414-43C1-8673-7DF34F0A71D1}" name="UNIT COST4" dataDxfId="194"/>
    <tableColumn id="13" xr3:uid="{D0C5ACC2-3C94-420E-BCF6-0CBB80282FB0}" name="EXTENDED TOTAL4" dataDxfId="193"/>
    <tableColumn id="14" xr3:uid="{5AE2E8F6-407F-4E85-9FCE-0B0737465DD9}" name="UNIT COST5" dataDxfId="192"/>
    <tableColumn id="15" xr3:uid="{0D460687-4A5C-4797-9CCD-7A4E20C75353}" name="EXTENDED TOTAL5" dataDxfId="191"/>
  </tableColumns>
  <tableStyleInfo name="TableStyleMedium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51FD150-4BBB-4043-9665-73E9909CC087}" name="Table001__Page_2_33579" displayName="Table001__Page_2_33579" ref="A13:K43" totalsRowShown="0" headerRowDxfId="190" dataDxfId="189">
  <autoFilter ref="A13:K43" xr:uid="{A848FC9D-D49E-46C1-AF30-3173AED9AB8E}"/>
  <sortState xmlns:xlrd2="http://schemas.microsoft.com/office/spreadsheetml/2017/richdata2" ref="A14:K43">
    <sortCondition ref="A13:A43"/>
  </sortState>
  <tableColumns count="11">
    <tableColumn id="1" xr3:uid="{786E243D-72DF-4C86-B779-0041AAE0FB70}" name="ITEM NO." dataDxfId="188"/>
    <tableColumn id="2" xr3:uid="{194361FC-7A7A-44DD-98D0-C04CACB0788F}" name="SPEC. NO." dataDxfId="187"/>
    <tableColumn id="3" xr3:uid="{7FF041B3-31D1-4863-A081-58A81DA3DD12}" name="DESCRIPTION" dataDxfId="186"/>
    <tableColumn id="4" xr3:uid="{0E0CA560-4A85-49CD-9A95-5A4E1AA09CF5}" name="UNIT" dataDxfId="185"/>
    <tableColumn id="5" xr3:uid="{68BBB2F6-BF3B-4E07-940D-30C88BAAFD50}" name="ESTIMATED QUANTITY" dataDxfId="184"/>
    <tableColumn id="15" xr3:uid="{DED135CC-D18A-4D63-9700-B28CCDDB6B0B}" name="UNIT COST" dataDxfId="183"/>
    <tableColumn id="16" xr3:uid="{288F55DC-F81A-4A75-B802-4CE223913116}" name="EXTENDED TOTAL" dataDxfId="182"/>
    <tableColumn id="6" xr3:uid="{A684F806-4E05-4CE5-A57F-1FE1B8E2AA19}" name="UNIT COST " dataDxfId="181"/>
    <tableColumn id="7" xr3:uid="{50414C54-86D1-49CB-BB7B-EE15024E2486}" name="EXTENDED TOTAL " dataDxfId="180"/>
    <tableColumn id="8" xr3:uid="{03428B75-40DC-412C-814D-E4B540727035}" name="UNIT COST   " dataDxfId="179"/>
    <tableColumn id="9" xr3:uid="{6AA6D50C-0901-451E-B2B3-BEB84B323575}" name="EXTENDED TOTAL  " dataDxfId="178"/>
  </tableColumns>
  <tableStyleInfo name="TableStyleMedium3"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C1F1532-ED1E-485C-BAEC-936A87D58A89}" name="Table10" displayName="Table10" ref="I48:K53" totalsRowShown="0" headerRowDxfId="177" headerRowBorderDxfId="176" tableBorderDxfId="175">
  <autoFilter ref="I48:K53" xr:uid="{DC1F1532-ED1E-485C-BAEC-936A87D58A89}"/>
  <tableColumns count="3">
    <tableColumn id="1" xr3:uid="{CED8F677-82AA-4D47-9FA2-88DEC01E9E51}" name="EXTENDED TOTAL" dataDxfId="174"/>
    <tableColumn id="2" xr3:uid="{250BA72F-F1AA-47F2-A0AC-1C859B725900}" name="UNIT COST" dataDxfId="173"/>
    <tableColumn id="3" xr3:uid="{D8C71604-6A0E-40B9-BACD-7CE7EC09933C}" name="EXTENDED TOTAL  " dataDxfId="172"/>
  </tableColumns>
  <tableStyleInfo name="TableStyleMedium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0AD988F-747A-401F-A938-7FAE6A8B76B8}" name="Table24" displayName="Table24" ref="H48:H52" totalsRowShown="0" headerRowDxfId="171" headerRowBorderDxfId="170" tableBorderDxfId="169" totalsRowBorderDxfId="168">
  <autoFilter ref="H48:H52" xr:uid="{F0AD988F-747A-401F-A938-7FAE6A8B76B8}"/>
  <tableColumns count="1">
    <tableColumn id="1" xr3:uid="{955BA4D0-DF13-4BB6-AE7E-08962C79E989}" name="UNIT COST"/>
  </tableColumns>
  <tableStyleInfo name="TableStyleMedium3"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C79DAF-B6F4-453F-9ECE-E79350401C4F}" name="Table001__Page_2_33512" displayName="Table001__Page_2_33512" ref="A13:P21" totalsRowShown="0" headerRowDxfId="167" dataDxfId="166">
  <autoFilter ref="A13:P21" xr:uid="{A848FC9D-D49E-46C1-AF30-3173AED9AB8E}"/>
  <sortState xmlns:xlrd2="http://schemas.microsoft.com/office/spreadsheetml/2017/richdata2" ref="A14:P21">
    <sortCondition ref="A13:A21"/>
  </sortState>
  <tableColumns count="16">
    <tableColumn id="1" xr3:uid="{81720399-D758-4214-8ED2-C04B36422E90}" name="ITEM NO." dataDxfId="165"/>
    <tableColumn id="2" xr3:uid="{A7E3D0DC-8B1A-4FDF-9EEF-0A0381940D73}" name="SPEC. NO." dataDxfId="164"/>
    <tableColumn id="3" xr3:uid="{CB8039FA-656B-4C77-AB02-21B4CBBCD179}" name="DESCRIPTION" dataDxfId="163"/>
    <tableColumn id="4" xr3:uid="{E81E0E3D-CFAA-45A0-8AD1-260D44F0F825}" name="UNIT" dataDxfId="162"/>
    <tableColumn id="5" xr3:uid="{373397B2-DDB6-48D4-B1C7-90F1B4E46407}" name="ESTIMATED QUANTITY" dataDxfId="161"/>
    <tableColumn id="6" xr3:uid="{BC362B94-28D9-420A-9EBE-221DA670ADB3}" name="UNIT COST" dataDxfId="160"/>
    <tableColumn id="7" xr3:uid="{1D075A27-6C1F-434E-836D-251B966AB58C}" name="EXTENDED TOTAL" dataDxfId="159"/>
    <tableColumn id="16" xr3:uid="{CC1FF545-4E7F-4A38-84F8-DCFE84EDEB3D}" name="ESTIMATED QUANTITY " dataDxfId="158"/>
    <tableColumn id="8" xr3:uid="{9D20B5BE-2734-47AB-A94A-34AA2AE5339C}" name="UNIT COST " dataDxfId="157"/>
    <tableColumn id="9" xr3:uid="{5E0C3A3A-4C48-4ACF-9135-6C539E49DC47}" name="EXTENDED TOTAL " dataDxfId="156"/>
    <tableColumn id="17" xr3:uid="{C582ED12-C7D9-41F0-A404-BA24DCDCB9BA}" name="ESTIMATED QUANTITY  " dataDxfId="155"/>
    <tableColumn id="10" xr3:uid="{FF33566A-936C-4B40-8E4A-57C35B41FCE3}" name="UNIT COST  " dataDxfId="154" dataCellStyle="Currency"/>
    <tableColumn id="11" xr3:uid="{D65EC20B-F6DD-4A66-8BFD-82CB27167587}" name="EXTENDED TOTAL  " dataDxfId="153" dataCellStyle="Currency"/>
    <tableColumn id="18" xr3:uid="{9CE0B1DC-B94D-4026-86D3-050320078792}" name="ESTIMATED QUANTITY   " dataDxfId="152"/>
    <tableColumn id="13" xr3:uid="{31A637A2-512D-48F9-9FE8-9C096FBB72D2}" name="UNIT COST   " dataDxfId="151"/>
    <tableColumn id="12" xr3:uid="{AF83C3B3-92E6-43E1-8C95-8F64392B1636}" name="EXTENDED TOTAL   " dataDxfId="150"/>
  </tableColumns>
  <tableStyleInfo name="TableStyleMedium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44150D7-7513-492B-B0F7-1FE89783A0DB}" name="Table001__Page_2_314" displayName="Table001__Page_2_314" ref="A13:M94" totalsRowShown="0" headerRowDxfId="149" dataDxfId="148">
  <autoFilter ref="A13:M94" xr:uid="{A848FC9D-D49E-46C1-AF30-3173AED9AB8E}"/>
  <sortState xmlns:xlrd2="http://schemas.microsoft.com/office/spreadsheetml/2017/richdata2" ref="A14:M94">
    <sortCondition ref="A13:A94"/>
  </sortState>
  <tableColumns count="13">
    <tableColumn id="1" xr3:uid="{5BD5A0D7-0FF5-47B3-9A42-1DB654F4F057}" name="ITEM NO." dataDxfId="147"/>
    <tableColumn id="2" xr3:uid="{4C7E4155-551B-4B24-AF97-4848884B198E}" name="SPEC. NO." dataDxfId="146"/>
    <tableColumn id="3" xr3:uid="{FD9451D0-6D70-4A37-94DF-D98F8D16BF7C}" name="DESCRIPTION" dataDxfId="145"/>
    <tableColumn id="4" xr3:uid="{4FE520C9-C7A8-4914-8EDD-D30BF0148DB8}" name="UNIT" dataDxfId="144"/>
    <tableColumn id="5" xr3:uid="{E80AA927-085E-48AA-B788-0A00107DFB1E}" name="ESTIMATED QUANTITY" dataDxfId="143"/>
    <tableColumn id="6" xr3:uid="{DD0430A1-2162-4AD5-B6A3-DC238B25C354}" name="UNIT COST" dataDxfId="142"/>
    <tableColumn id="7" xr3:uid="{7E599420-FC26-4FD5-A5CA-9DC91CC6BDF6}" name="EXTENDED TOTAL" dataDxfId="141"/>
    <tableColumn id="8" xr3:uid="{D96AB9BE-BAFF-4F36-943E-885B49831764}" name="UNIT COST2" dataDxfId="140"/>
    <tableColumn id="9" xr3:uid="{FEA72D83-B7CB-403E-8B5F-FE2BF3527FE0}" name="EXTENDED TOTAL2" dataDxfId="139"/>
    <tableColumn id="10" xr3:uid="{83008063-46B7-4AA1-A14C-707848161570}" name="UNIT COST3" dataDxfId="138"/>
    <tableColumn id="11" xr3:uid="{6B2795CF-3B47-4598-8CF7-978096AE81B7}" name="EXTENDED TOTAL3" dataDxfId="137"/>
    <tableColumn id="12" xr3:uid="{F54EAA10-F70E-444C-B206-85A39B20C10A}" name="UNIT COST4" dataDxfId="136"/>
    <tableColumn id="13" xr3:uid="{14D2FDE8-862D-4B56-9691-75E45EAB5BD7}" name="EXTENDED TOTAL4" dataDxfId="135"/>
  </tableColumns>
  <tableStyleInfo name="TableStyleMedium3"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C92B9D7-85EF-45ED-9A9E-0B92430C049B}" name="Table001__Page_2_316132734" displayName="Table001__Page_2_316132734" ref="A13:K22" totalsRowShown="0" headerRowDxfId="134" dataDxfId="133">
  <autoFilter ref="A13:K22" xr:uid="{A848FC9D-D49E-46C1-AF30-3173AED9AB8E}"/>
  <sortState xmlns:xlrd2="http://schemas.microsoft.com/office/spreadsheetml/2017/richdata2" ref="A14:I22">
    <sortCondition ref="A13:A22"/>
  </sortState>
  <tableColumns count="11">
    <tableColumn id="1" xr3:uid="{48C31B99-D43E-47FA-9CBB-13C180B45148}" name="ITEM NO." dataDxfId="132"/>
    <tableColumn id="2" xr3:uid="{AC0F67E8-60B8-4F1C-B9FE-6264AB6D707F}" name="SPEC. NO." dataDxfId="131"/>
    <tableColumn id="3" xr3:uid="{5536644B-BC14-43B0-8060-BD2F162C712C}" name="DESCRIPTION" dataDxfId="130"/>
    <tableColumn id="4" xr3:uid="{B5472B05-588B-4D23-B6D9-DB14E1BAD25A}" name="UNIT" dataDxfId="129"/>
    <tableColumn id="5" xr3:uid="{D6334230-B7D3-46AF-8E77-E3C7BCD36AFC}" name="ESTIMATED QUANTITY" dataDxfId="128"/>
    <tableColumn id="6" xr3:uid="{7273CED2-AEAE-4B21-88D8-69700780041D}" name="UNIT COST" dataDxfId="127"/>
    <tableColumn id="7" xr3:uid="{65598FDC-F037-4174-A968-8B4DDF54B302}" name="EXTENDED TOTAL" dataDxfId="126"/>
    <tableColumn id="8" xr3:uid="{A51B520D-73EB-4426-ACC1-7CE42802DC58}" name="UNIT COST2" dataDxfId="125"/>
    <tableColumn id="9" xr3:uid="{9030F51D-A5E2-484E-AE9E-55E4BFED838F}" name="EXTENDED TOTAL2" dataDxfId="124"/>
    <tableColumn id="10" xr3:uid="{2AF9C505-712F-418D-9537-B80FDF277210}" name="UNIT COST3" dataDxfId="123"/>
    <tableColumn id="11" xr3:uid="{4EE7ABBB-C409-4451-BCB6-F38D31119A6F}" name="EXTENDED TOTAL3" dataDxfId="122"/>
  </tableColumns>
  <tableStyleInfo name="TableStyleMedium3"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54ECD9A-DD24-4C51-8A58-09C972439E62}" name="Table001__Page_2_31622212938" displayName="Table001__Page_2_31622212938" ref="A26:K28" totalsRowShown="0" headerRowDxfId="121" dataDxfId="120">
  <autoFilter ref="A26:K28" xr:uid="{5F9D6C68-DFD4-4ABB-8F1B-6F72173D5A6D}"/>
  <sortState xmlns:xlrd2="http://schemas.microsoft.com/office/spreadsheetml/2017/richdata2" ref="A27:I27">
    <sortCondition ref="A13:A22"/>
  </sortState>
  <tableColumns count="11">
    <tableColumn id="1" xr3:uid="{7E5BDA3B-4498-479E-AB6D-58BEDDA073E3}" name="ITEM NO." dataDxfId="119"/>
    <tableColumn id="2" xr3:uid="{5107B447-6EA3-4E46-B314-8F828F77C7BA}" name="SPEC. NO." dataDxfId="118"/>
    <tableColumn id="3" xr3:uid="{131EAD08-369F-4DF3-AA9D-A8B67DC6FD6F}" name="DESCRIPTION" dataDxfId="117"/>
    <tableColumn id="4" xr3:uid="{84D02C49-DFAE-4519-8C03-760128D89ACD}" name="UNIT" dataDxfId="116"/>
    <tableColumn id="5" xr3:uid="{E2B672AE-42E0-49F6-883B-9BF00D2A5458}" name="ESTIMATED QUANTITY" dataDxfId="115"/>
    <tableColumn id="6" xr3:uid="{9EF62446-82EB-4B9B-8415-BB790036D863}" name="UNIT COST" dataDxfId="114"/>
    <tableColumn id="7" xr3:uid="{3B0AA00C-12FB-4C10-9A31-5586A271F578}" name="EXTENDED TOTAL" dataDxfId="113"/>
    <tableColumn id="8" xr3:uid="{E2E6753A-72CE-4F3C-832B-F34718BE0603}" name="UNIT COST2" dataDxfId="112"/>
    <tableColumn id="9" xr3:uid="{406222B7-F2FF-4C72-A5CE-298ADDB4BF8B}" name="EXTENDED TOTAL2" dataDxfId="111"/>
    <tableColumn id="10" xr3:uid="{77749C68-D011-46F7-9674-FB985A62F13A}" name="UNIT COST3" dataDxfId="110"/>
    <tableColumn id="11" xr3:uid="{A492141D-F3B2-4B89-AAEC-862FCBAFE8AF}" name="EXTENDED TOTAL3" dataDxfId="109"/>
  </tableColumns>
  <tableStyleInfo name="TableStyleMedium3"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6E2F8319-9D76-491F-9785-D9801E7F639A}" name="Table001__Page_2_31439" displayName="Table001__Page_2_31439" ref="A13:Q41" totalsRowShown="0" headerRowDxfId="108" dataDxfId="107">
  <autoFilter ref="A13:Q41" xr:uid="{A848FC9D-D49E-46C1-AF30-3173AED9AB8E}"/>
  <sortState xmlns:xlrd2="http://schemas.microsoft.com/office/spreadsheetml/2017/richdata2" ref="A14:M41">
    <sortCondition ref="A13:A41"/>
  </sortState>
  <tableColumns count="17">
    <tableColumn id="1" xr3:uid="{1FD99261-D6C3-4BD6-B1D2-BCD320DF7D86}" name="ITEM NO." dataDxfId="106"/>
    <tableColumn id="2" xr3:uid="{802A40E4-5D48-4C77-90B4-9A0661B46B29}" name="SPEC. NO." dataDxfId="105"/>
    <tableColumn id="3" xr3:uid="{0F958CB9-B2DE-4621-9A03-A3CF1B0A776C}" name="DESCRIPTION" dataDxfId="104"/>
    <tableColumn id="4" xr3:uid="{C648479A-E8CD-4094-921B-D3F48003E626}" name="UNIT" dataDxfId="103"/>
    <tableColumn id="5" xr3:uid="{9E26A458-5EAF-40D5-99B1-BB22F4181A92}" name="ESTIMATED QUANTITY" dataDxfId="102"/>
    <tableColumn id="6" xr3:uid="{653F6509-9162-40B6-84E4-F23CD54ED2CB}" name="UNIT COST" dataDxfId="101"/>
    <tableColumn id="7" xr3:uid="{B954D03D-D907-4B58-89EA-A0C29BF8104F}" name="EXTENDED TOTAL" dataDxfId="100"/>
    <tableColumn id="8" xr3:uid="{E5DB7AB6-4A17-420C-8463-F1165A4753F8}" name="UNIT COST2" dataDxfId="99"/>
    <tableColumn id="9" xr3:uid="{77A6D0FF-10B0-42A1-A703-662980C04441}" name="EXTENDED TOTAL2" dataDxfId="98"/>
    <tableColumn id="10" xr3:uid="{06662113-4C36-421D-8E5A-EF0FDD6BD393}" name="UNIT COST3" dataDxfId="97"/>
    <tableColumn id="11" xr3:uid="{7F70C9C4-0CE9-493D-988E-2E066F1BA0D1}" name="EXTENDED TOTAL3" dataDxfId="96"/>
    <tableColumn id="12" xr3:uid="{69D220D5-4220-4D29-954F-7081181D6A0B}" name="UNIT COST4" dataDxfId="95"/>
    <tableColumn id="13" xr3:uid="{B08C127D-DEC9-4923-8AF6-DB7C8D532F7C}" name="EXTENDED TOTAL4" dataDxfId="94"/>
    <tableColumn id="14" xr3:uid="{58882B20-A73D-4E91-9E7E-0E6954453A56}" name="UNIT COST5" dataDxfId="93"/>
    <tableColumn id="15" xr3:uid="{A6230078-E40F-4E2A-8B96-A1C04BC200B1}" name="EXTENDED TOTAL5" dataDxfId="92"/>
    <tableColumn id="16" xr3:uid="{3D629D07-6D7A-499A-BBF2-DEE5E4B6410F}" name="UNIT COST6" dataDxfId="91"/>
    <tableColumn id="17" xr3:uid="{135B5F44-CD49-4554-AA44-85BADEA064DE}" name="EXTENDED TOTAL6" dataDxfId="90"/>
  </tableColumns>
  <tableStyleInfo name="TableStyleMedium3"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48FC9D-D49E-46C1-AF30-3173AED9AB8E}" name="Table001__Page_2_3" displayName="Table001__Page_2_3" ref="A13:M123" totalsRowShown="0" headerRowDxfId="89" dataDxfId="88">
  <autoFilter ref="A13:M123" xr:uid="{A848FC9D-D49E-46C1-AF30-3173AED9AB8E}"/>
  <sortState xmlns:xlrd2="http://schemas.microsoft.com/office/spreadsheetml/2017/richdata2" ref="A14:M123">
    <sortCondition ref="A13:A123"/>
  </sortState>
  <tableColumns count="13">
    <tableColumn id="1" xr3:uid="{9F374C72-D138-4DFC-886F-7EEE5D87A647}" name="ITEM NO." dataDxfId="87"/>
    <tableColumn id="2" xr3:uid="{A4304F5D-186C-435C-8980-F9C6B582871A}" name="SPEC. NO." dataDxfId="86"/>
    <tableColumn id="3" xr3:uid="{6A2A90DB-E9AF-4F40-BEC2-E3A2D4B534A7}" name="DESCRIPTION" dataDxfId="85"/>
    <tableColumn id="4" xr3:uid="{C6A691FE-D776-4D28-A28C-028F497CF344}" name="UNIT" dataDxfId="84"/>
    <tableColumn id="5" xr3:uid="{FC9B26F7-B62C-41F8-A868-8618D123FE9A}" name="ESTIMATED QUANTITY" dataDxfId="83"/>
    <tableColumn id="6" xr3:uid="{D3E1BEB3-8852-467D-9167-66F8995E1C13}" name="UNIT COST" dataDxfId="82"/>
    <tableColumn id="7" xr3:uid="{5257461F-C0A3-42D7-8221-8C43C747F20A}" name="EXTENDED TOTAL" dataDxfId="81"/>
    <tableColumn id="8" xr3:uid="{E66BF97F-F716-47D9-B72B-D41E0301E0FF}" name="UNIT COST " dataDxfId="80"/>
    <tableColumn id="9" xr3:uid="{113ACA8A-7D56-4BB2-B156-4AB76674DF64}" name="EXTENDED TOTAL " dataDxfId="79"/>
    <tableColumn id="10" xr3:uid="{2174D197-8787-462C-8622-93104CF8011B}" name="UNIT COST  " dataDxfId="78"/>
    <tableColumn id="11" xr3:uid="{E4CFD763-1799-4281-B805-9FB1B0BC7CFC}" name="EXTENDED TOTAL  " dataDxfId="77">
      <calculatedColumnFormula>Table001__Page_2_3[[#This Row],[UNIT COST  ]]*Table001__Page_2_3[[#This Row],[ESTIMATED QUANTITY]]</calculatedColumnFormula>
    </tableColumn>
    <tableColumn id="12" xr3:uid="{C6D1A529-7DC2-45E9-8AD8-F4ABEA74B289}" name="UNIT COST   " dataDxfId="76"/>
    <tableColumn id="13" xr3:uid="{315828F6-E39D-4741-A245-067133F8BC2A}" name="EXTENDED TOTAL   " dataDxfId="75"/>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05F32E4-DBB6-484C-9C67-8D06B51D72E9}" name="Table001__Page_2_3161326" displayName="Table001__Page_2_3161326" ref="A13:M28" totalsRowShown="0" headerRowDxfId="434" dataDxfId="433">
  <autoFilter ref="A13:M28" xr:uid="{A848FC9D-D49E-46C1-AF30-3173AED9AB8E}"/>
  <tableColumns count="13">
    <tableColumn id="1" xr3:uid="{B7801C2B-600E-4128-84A7-9B501E83C97D}" name="ITEM NO." dataDxfId="432"/>
    <tableColumn id="2" xr3:uid="{41792DF2-21A5-4217-AF36-D255FC756219}" name="SPEC. NO." dataDxfId="431"/>
    <tableColumn id="3" xr3:uid="{E84D212E-8D29-4AD5-8082-ACE7D56FD242}" name="DESCRIPTION" dataDxfId="430"/>
    <tableColumn id="4" xr3:uid="{8D78712D-E7E7-435C-96D6-1470ECC6F45D}" name="UNIT" dataDxfId="429"/>
    <tableColumn id="5" xr3:uid="{9F78240A-36C0-45FC-A0AA-6C104FF3535B}" name="ESTIMATED QUANTITY" dataDxfId="428"/>
    <tableColumn id="6" xr3:uid="{17C7D0CF-6030-47FD-A7F8-AF414A880903}" name="UNIT COST" dataDxfId="427"/>
    <tableColumn id="7" xr3:uid="{B730411D-8352-4A8F-B581-4F6E0E101DF0}" name="EXTENDED TOTAL" dataDxfId="426"/>
    <tableColumn id="8" xr3:uid="{8A4C0D76-09E2-416F-B8E5-26FB35E3E23F}" name="UNIT COST2" dataDxfId="425"/>
    <tableColumn id="9" xr3:uid="{1FF9FA9E-9244-421C-BF68-DEF99D47017D}" name="EXTENDED TOTAL2" dataDxfId="424"/>
    <tableColumn id="10" xr3:uid="{D3B7639A-7900-4B81-B08A-B69BFC1ADEB7}" name="UNIT COST3" dataDxfId="423"/>
    <tableColumn id="11" xr3:uid="{A354CB3D-F6F7-4EE6-A270-A67F70EF5D45}" name="EXTENDED TOTAL3" dataDxfId="422"/>
    <tableColumn id="12" xr3:uid="{CF379562-D8A5-46B6-8265-7E734B36DEEB}" name="UNIT COST4" dataDxfId="421"/>
    <tableColumn id="13" xr3:uid="{CE93824C-B894-43D0-B934-DB595A07FB34}" name="EXTENDED TOTAL4" dataDxfId="420"/>
  </tableColumns>
  <tableStyleInfo name="TableStyleMedium3"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0ABE6B3-76F2-40FF-8528-C6648727C641}" name="Table001__Page_2_315" displayName="Table001__Page_2_315" ref="A13:M37" totalsRowShown="0" headerRowDxfId="74" dataDxfId="73">
  <autoFilter ref="A13:M37" xr:uid="{A848FC9D-D49E-46C1-AF30-3173AED9AB8E}"/>
  <sortState xmlns:xlrd2="http://schemas.microsoft.com/office/spreadsheetml/2017/richdata2" ref="A14:M37">
    <sortCondition ref="A13:A37"/>
  </sortState>
  <tableColumns count="13">
    <tableColumn id="1" xr3:uid="{7C701FA2-15B8-4C1E-A164-67E6D55B705D}" name="ITEM NO." dataDxfId="72"/>
    <tableColumn id="2" xr3:uid="{64482871-43F2-4903-9D48-A209970CBDA1}" name="SPEC. NO." dataDxfId="71"/>
    <tableColumn id="3" xr3:uid="{288AD329-464A-4CBE-A46D-5F528D72315C}" name="DESCRIPTION" dataDxfId="70"/>
    <tableColumn id="4" xr3:uid="{D9306120-2B6A-43AD-B6E4-BBAB378110EE}" name="UNIT" dataDxfId="69"/>
    <tableColumn id="5" xr3:uid="{94FB970D-E979-4EBB-830D-15207B63F559}" name="ESTIMATED QUANTITY" dataDxfId="68"/>
    <tableColumn id="6" xr3:uid="{BE289877-BFFE-485E-86F8-634BD105A1D9}" name="UNIT COST" dataDxfId="67"/>
    <tableColumn id="7" xr3:uid="{9E8AE0C5-2221-455E-8946-BF9DDF4CB5B2}" name="EXTENDED TOTAL" dataDxfId="66"/>
    <tableColumn id="8" xr3:uid="{8EEAB244-79DF-4B42-BE94-76A2FD4A61D4}" name="UNIT COST2" dataDxfId="65"/>
    <tableColumn id="9" xr3:uid="{D62B0BBA-9B9C-4499-806A-4DCDFACF65D7}" name="EXTENDED TOTAL2" dataDxfId="64"/>
    <tableColumn id="10" xr3:uid="{39CED9E0-43A2-4B0D-BA25-BAA52F166035}" name="UNIT COST3" dataDxfId="63"/>
    <tableColumn id="11" xr3:uid="{E8081E5E-6C44-428E-88B4-65BF4B630176}" name="EXTENDED TOTAL3" dataDxfId="62"/>
    <tableColumn id="12" xr3:uid="{01C95933-654F-4D8D-963B-A566C41E2C4F}" name="UNIT COST4" dataDxfId="61"/>
    <tableColumn id="13" xr3:uid="{B0FBBCB6-F262-433E-AFBC-D8A749EBEC74}" name="EXTENDED TOTAL4" dataDxfId="60"/>
  </tableColumns>
  <tableStyleInfo name="TableStyleMedium3"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E4F19EC-DBA6-4C1C-8370-01BF5B61F6F5}" name="Table001__Page_2_316" displayName="Table001__Page_2_316" ref="A13:M54" totalsRowShown="0" headerRowDxfId="59" dataDxfId="58">
  <autoFilter ref="A13:M54" xr:uid="{A848FC9D-D49E-46C1-AF30-3173AED9AB8E}"/>
  <sortState xmlns:xlrd2="http://schemas.microsoft.com/office/spreadsheetml/2017/richdata2" ref="A14:M54">
    <sortCondition ref="A13:A54"/>
  </sortState>
  <tableColumns count="13">
    <tableColumn id="1" xr3:uid="{D3CA4F19-FB5C-4612-94CB-284BBC5D643B}" name="ITEM NO." dataDxfId="57"/>
    <tableColumn id="2" xr3:uid="{D60C183F-D230-4DD2-B448-857FA1712138}" name="SPEC. NO." dataDxfId="56"/>
    <tableColumn id="3" xr3:uid="{FA5952FF-D684-4A81-9420-B03471E84E9E}" name="DESCRIPTION" dataDxfId="55"/>
    <tableColumn id="4" xr3:uid="{98AB2680-CA57-4702-A190-A22A9230936A}" name="UNIT" dataDxfId="54"/>
    <tableColumn id="5" xr3:uid="{4DDF7E31-EF0F-406F-BCE8-9447D9D21A09}" name="ESTIMATED QUANTITY" dataDxfId="53"/>
    <tableColumn id="6" xr3:uid="{C9A3BC73-55E6-44E1-B712-5EE6736F2662}" name="UNIT COST" dataDxfId="52"/>
    <tableColumn id="7" xr3:uid="{368F1E07-1847-4341-959F-73B6A093A333}" name="EXTENDED TOTAL" dataDxfId="51"/>
    <tableColumn id="8" xr3:uid="{F220D59E-0B54-4003-8C82-020A202E3E31}" name="UNIT COST2" dataDxfId="50"/>
    <tableColumn id="9" xr3:uid="{73A4EEE3-5ABA-4D98-A2BB-F788D91BA3EF}" name="EXTENDED TOTAL2" dataDxfId="49"/>
    <tableColumn id="10" xr3:uid="{2A6E9AB4-4129-4714-A0A0-D62AE0DED98D}" name="UNIT COST3" dataDxfId="48"/>
    <tableColumn id="11" xr3:uid="{8106AC3C-1E1A-4832-8C46-74F064FB30D3}" name="EXTENDED TOTAL3" dataDxfId="47"/>
    <tableColumn id="12" xr3:uid="{BEE9E1D3-2EFD-413E-BE8B-2A7AB8F8C250}" name="UNIT COST4" dataDxfId="46"/>
    <tableColumn id="13" xr3:uid="{1BFB21BE-D014-49E2-A625-89E588D33FFC}" name="EXTENDED TOTAL4" dataDxfId="45"/>
  </tableColumns>
  <tableStyleInfo name="TableStyleMedium3"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F9D6C68-DFD4-4ABB-8F1B-6F72173D5A6D}" name="Table001__Page_2_31622" displayName="Table001__Page_2_31622" ref="A58:M79" totalsRowShown="0" headerRowDxfId="44" dataDxfId="43">
  <autoFilter ref="A58:M79" xr:uid="{5F9D6C68-DFD4-4ABB-8F1B-6F72173D5A6D}"/>
  <sortState xmlns:xlrd2="http://schemas.microsoft.com/office/spreadsheetml/2017/richdata2" ref="A59:M79">
    <sortCondition ref="A13:A54"/>
  </sortState>
  <tableColumns count="13">
    <tableColumn id="1" xr3:uid="{215EC5B2-C0EC-4A78-8F9B-D8C1BEEB7487}" name="ITEM NO." dataDxfId="42"/>
    <tableColumn id="2" xr3:uid="{0C59B8DF-ACB5-4496-B70E-0FDC5F50ED61}" name="SPEC. NO." dataDxfId="41"/>
    <tableColumn id="3" xr3:uid="{2C341822-2F84-4CC6-8465-D480A2CFE093}" name="DESCRIPTION" dataDxfId="40"/>
    <tableColumn id="4" xr3:uid="{96E58613-5088-423E-8D35-88E9603C6AF1}" name="UNIT" dataDxfId="39"/>
    <tableColumn id="5" xr3:uid="{55041ADC-E104-4C68-B72A-0B7307F7B801}" name="ESTIMATED QUANTITY" dataDxfId="38"/>
    <tableColumn id="6" xr3:uid="{64F1C21E-4C16-450E-8346-4B86C1322EF9}" name="UNIT COST" dataDxfId="37"/>
    <tableColumn id="7" xr3:uid="{9B4EAA02-D51D-492D-AB86-6C9BE46EBA88}" name="EXTENDED TOTAL" dataDxfId="36"/>
    <tableColumn id="8" xr3:uid="{EC4DDCEB-4D31-4CAD-BA3C-EED3B6CAC414}" name="UNIT COST2" dataDxfId="35"/>
    <tableColumn id="9" xr3:uid="{65AC890C-1013-497E-8648-AB76FB638FC4}" name="EXTENDED TOTAL2" dataDxfId="34"/>
    <tableColumn id="10" xr3:uid="{B45DF0FA-21F7-4AB6-98F7-256BACEE36FB}" name="UNIT COST3" dataDxfId="33"/>
    <tableColumn id="11" xr3:uid="{5A0893AD-84C0-4240-9B7D-EC382B4E9CAB}" name="EXTENDED TOTAL3" dataDxfId="32"/>
    <tableColumn id="12" xr3:uid="{82FCE8DF-403E-4DB4-88A4-A58A6011334C}" name="UNIT COST4" dataDxfId="31"/>
    <tableColumn id="13" xr3:uid="{E361EA79-741D-408B-B753-CE6A8067228F}" name="EXTENDED TOTAL4" dataDxfId="30"/>
  </tableColumns>
  <tableStyleInfo name="TableStyleMedium3"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E2534A3-E0B2-4391-944E-695E43D7BAA8}" name="Table001__Page_2_3162223" displayName="Table001__Page_2_3162223" ref="A83:M94" totalsRowShown="0" headerRowDxfId="29" dataDxfId="28">
  <autoFilter ref="A83:M94" xr:uid="{BE2534A3-E0B2-4391-944E-695E43D7BAA8}"/>
  <sortState xmlns:xlrd2="http://schemas.microsoft.com/office/spreadsheetml/2017/richdata2" ref="A84:M94">
    <sortCondition ref="A13:A54"/>
  </sortState>
  <tableColumns count="13">
    <tableColumn id="1" xr3:uid="{0D804B42-06A4-414F-B49A-F9F05285A5AF}" name="ITEM NO." dataDxfId="27"/>
    <tableColumn id="2" xr3:uid="{68109C94-5DB7-465D-AB9F-6982E2704EAE}" name="SPEC. NO." dataDxfId="26"/>
    <tableColumn id="3" xr3:uid="{5ADBACC7-EAE7-406D-977C-31C9CAB247A9}" name="DESCRIPTION" dataDxfId="25"/>
    <tableColumn id="4" xr3:uid="{A0C7664E-630D-497C-8868-44FD4EAB1DAC}" name="UNIT" dataDxfId="24"/>
    <tableColumn id="5" xr3:uid="{A3B96AEE-34CF-4C0B-93C3-A8F38CFF8E2E}" name="ESTIMATED QUANTITY" dataDxfId="23"/>
    <tableColumn id="6" xr3:uid="{684E7326-77B2-447E-8AF2-EAF7A3B39453}" name="UNIT COST" dataDxfId="22"/>
    <tableColumn id="7" xr3:uid="{98AA6372-316F-4098-AF9C-79A10192D482}" name="EXTENDED TOTAL" dataDxfId="21"/>
    <tableColumn id="8" xr3:uid="{DA1F8EF2-5D7A-46AD-A442-9B83024A2611}" name="UNIT COST2" dataDxfId="20"/>
    <tableColumn id="9" xr3:uid="{F8C5F7D2-A144-44D8-9469-22F9230E9E1C}" name="EXTENDED TOTAL2" dataDxfId="19"/>
    <tableColumn id="10" xr3:uid="{95E8A79D-FDF3-4D35-AC82-EDDB206DB639}" name="UNIT COST3" dataDxfId="18"/>
    <tableColumn id="11" xr3:uid="{7613CE60-B703-4DCF-B54F-B2ABC4E25158}" name="EXTENDED TOTAL3" dataDxfId="17"/>
    <tableColumn id="12" xr3:uid="{08A2BF66-3DF7-444B-A933-FB9EA34CD339}" name="UNIT COST4" dataDxfId="16"/>
    <tableColumn id="13" xr3:uid="{4D69D859-B2C1-40FA-B208-83188B205982}" name="EXTENDED TOTAL4" dataDxfId="15"/>
  </tableColumns>
  <tableStyleInfo name="TableStyleMedium3"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A9D1EE06-ADD1-4F1A-BAB0-2C214FBE9B6C}" name="Table001__Page_2_316222324" displayName="Table001__Page_2_316222324" ref="A98:M107" totalsRowShown="0" headerRowDxfId="14" dataDxfId="13">
  <autoFilter ref="A98:M107" xr:uid="{A9D1EE06-ADD1-4F1A-BAB0-2C214FBE9B6C}"/>
  <sortState xmlns:xlrd2="http://schemas.microsoft.com/office/spreadsheetml/2017/richdata2" ref="A99:M107">
    <sortCondition ref="A13:A54"/>
  </sortState>
  <tableColumns count="13">
    <tableColumn id="1" xr3:uid="{962712BA-8A7F-4E8C-94D7-72DD2B48D69E}" name="ITEM NO." dataDxfId="12"/>
    <tableColumn id="2" xr3:uid="{F39F0539-B7E6-41FA-95BD-6E07C1D6AE00}" name="SPEC. NO." dataDxfId="11"/>
    <tableColumn id="3" xr3:uid="{EBC0A793-FFC8-48E0-9CA5-1D738317DD8C}" name="DESCRIPTION" dataDxfId="10"/>
    <tableColumn id="4" xr3:uid="{9B3D05F4-DF64-48B1-9555-AC8F66FEBBDC}" name="UNIT" dataDxfId="9"/>
    <tableColumn id="5" xr3:uid="{9BFAF616-6FD4-4EF6-A036-93FAD93E15D9}" name="ESTIMATED QUANTITY" dataDxfId="8"/>
    <tableColumn id="6" xr3:uid="{764942B8-A734-47F9-AF3F-7433D397547B}" name="UNIT COST" dataDxfId="7"/>
    <tableColumn id="7" xr3:uid="{6CD2170A-98EE-4DEB-821F-6FBE8473DA8E}" name="EXTENDED TOTAL" dataDxfId="6"/>
    <tableColumn id="8" xr3:uid="{BDC24F2D-E6F5-485F-AA54-528FE0509DF2}" name="UNIT COST2" dataDxfId="5"/>
    <tableColumn id="9" xr3:uid="{8E59E16F-E39F-46D2-BB86-3E139610DA4E}" name="EXTENDED TOTAL2" dataDxfId="4"/>
    <tableColumn id="10" xr3:uid="{756A6402-5272-4492-B4DC-63808F56F21C}" name="UNIT COST3" dataDxfId="3"/>
    <tableColumn id="11" xr3:uid="{C5D649F5-2F26-4D78-8C24-B5D70BF72AA4}" name="EXTENDED TOTAL3" dataDxfId="2"/>
    <tableColumn id="12" xr3:uid="{7F5EA364-D51D-4C84-A2CE-768CA5C8E072}" name="UNIT COST4" dataDxfId="1"/>
    <tableColumn id="13" xr3:uid="{745A16D6-223B-4860-B5B7-FDDA73FFEC5A}" name="EXTENDED TOTAL4" dataDxfId="0"/>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3198E92-CE4C-487F-AAD9-D250D073BBA3}" name="Table001__Page_2_328" displayName="Table001__Page_2_328" ref="A13:M39" totalsRowShown="0" headerRowDxfId="419" dataDxfId="418">
  <autoFilter ref="A13:M39" xr:uid="{E3198E92-CE4C-487F-AAD9-D250D073BBA3}"/>
  <sortState xmlns:xlrd2="http://schemas.microsoft.com/office/spreadsheetml/2017/richdata2" ref="A14:M39">
    <sortCondition ref="A13:A39"/>
  </sortState>
  <tableColumns count="13">
    <tableColumn id="1" xr3:uid="{AE588B3F-859E-4149-8AE6-D6360A97A5B2}" name="ITEM NO." dataDxfId="417"/>
    <tableColumn id="2" xr3:uid="{B37993B3-E3FE-4DEA-9E04-B2763C30F862}" name="SPEC. NO." dataDxfId="416"/>
    <tableColumn id="3" xr3:uid="{535F7C83-5293-4336-B193-DBF918AE36C1}" name="DESCRIPTION" dataDxfId="415"/>
    <tableColumn id="4" xr3:uid="{E1AC6E83-2155-4FD5-AD11-4C8EE0B4AB89}" name="UNIT" dataDxfId="414"/>
    <tableColumn id="5" xr3:uid="{DF0A47ED-D545-4775-AAC9-C367572709C7}" name="ESTIMATED QUANTITY" dataDxfId="413"/>
    <tableColumn id="6" xr3:uid="{FFACFC23-7657-421F-AF91-2F8343678F76}" name="UNIT COST" dataDxfId="412"/>
    <tableColumn id="7" xr3:uid="{EE451B37-59E9-4747-A0E5-93DD2148E816}" name="EXTENDED TOTAL" dataDxfId="411"/>
    <tableColumn id="8" xr3:uid="{707E32BA-6F9E-418B-AF4B-87A44A79E797}" name="UNIT COST " dataDxfId="410"/>
    <tableColumn id="9" xr3:uid="{1DB62263-18E6-4B41-9E39-19188D468708}" name="EXTENDED TOTAL " dataDxfId="409"/>
    <tableColumn id="10" xr3:uid="{15F39D8C-DC08-471B-BFCB-F4E132858334}" name="UNIT COST  " dataDxfId="408"/>
    <tableColumn id="11" xr3:uid="{5C93F0B0-2C5B-4B97-8E55-F1CE76E6725D}" name="EXTENDED TOTAL  " dataDxfId="407">
      <calculatedColumnFormula>Table001__Page_2_328[[#This Row],[UNIT COST  ]]*Table001__Page_2_328[[#This Row],[ESTIMATED QUANTITY]]</calculatedColumnFormula>
    </tableColumn>
    <tableColumn id="12" xr3:uid="{24EE561A-8420-4755-B4D8-7C0BBEBBFA0A}" name="UNIT COST   " dataDxfId="406"/>
    <tableColumn id="13" xr3:uid="{A82C0FB3-5F91-4576-928B-AFDF41CE2461}" name="EXTENDED TOTAL   " dataDxfId="405"/>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1BD94EF-1850-45F0-A274-E1B7BEB21592}" name="Table29" displayName="Table29" ref="N13:O38" totalsRowShown="0" headerRowDxfId="404" dataDxfId="403" tableBorderDxfId="402">
  <autoFilter ref="N13:O38" xr:uid="{51BD94EF-1850-45F0-A274-E1B7BEB21592}"/>
  <tableColumns count="2">
    <tableColumn id="1" xr3:uid="{6D9454EF-7BD0-4BB9-9E75-2DDE66D0626B}" name="UNIT COST   " dataDxfId="401"/>
    <tableColumn id="2" xr3:uid="{528E69D6-C0E9-4644-8091-A014964B1463}" name="EXTENDED TOTAL   " dataDxfId="400"/>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B5733F6-3FF4-41AB-B92E-5DB734BBB6CA}" name="Table001__Page_2_32831" displayName="Table001__Page_2_32831" ref="A43:O45" totalsRowShown="0" headerRowDxfId="399" dataDxfId="398">
  <autoFilter ref="A43:O45" xr:uid="{AB5733F6-3FF4-41AB-B92E-5DB734BBB6CA}"/>
  <sortState xmlns:xlrd2="http://schemas.microsoft.com/office/spreadsheetml/2017/richdata2" ref="A44:M45">
    <sortCondition ref="A13:A39"/>
  </sortState>
  <tableColumns count="15">
    <tableColumn id="1" xr3:uid="{08947194-9AED-4365-BA19-887F6215FE4E}" name="ITEM NO." dataDxfId="397"/>
    <tableColumn id="2" xr3:uid="{FC155B19-F56F-47EE-9228-28E6D4E25930}" name="SPEC. NO." dataDxfId="396"/>
    <tableColumn id="3" xr3:uid="{FB472A06-0999-4B70-8FA9-7189ADD4B1CF}" name="DESCRIPTION" dataDxfId="395"/>
    <tableColumn id="4" xr3:uid="{C3047425-BC49-48E2-B67E-534B25391FA1}" name="UNIT" dataDxfId="394"/>
    <tableColumn id="5" xr3:uid="{FE97CF07-BC46-408E-AF43-97A9A5FE43E3}" name="ESTIMATED QUANTITY" dataDxfId="393"/>
    <tableColumn id="6" xr3:uid="{ABDEF3FB-284E-49F9-A979-29C69346F232}" name="UNIT COST" dataDxfId="392"/>
    <tableColumn id="7" xr3:uid="{D322E391-008E-4F2A-992C-CD6E799360AB}" name="EXTENDED TOTAL" dataDxfId="391"/>
    <tableColumn id="8" xr3:uid="{C07FA3C2-3D01-4944-B35D-4006B8F74B47}" name="UNIT COST " dataDxfId="390"/>
    <tableColumn id="9" xr3:uid="{C86B3CAD-54DF-4CC9-AD03-CEA10CFA07C7}" name="EXTENDED TOTAL " dataDxfId="389"/>
    <tableColumn id="10" xr3:uid="{9EB2A197-33FD-4FE6-85EC-EDB2A3F9FC49}" name="UNIT COST  " dataDxfId="388"/>
    <tableColumn id="11" xr3:uid="{51B40C67-BBF2-4716-91B3-626800C7E252}" name="EXTENDED TOTAL  " dataDxfId="387">
      <calculatedColumnFormula>Table001__Page_2_32831[[#This Row],[UNIT COST  ]]*Table001__Page_2_32831[[#This Row],[ESTIMATED QUANTITY]]</calculatedColumnFormula>
    </tableColumn>
    <tableColumn id="12" xr3:uid="{DB94FF8E-1945-4FFF-8B8F-D39265E3EB9A}" name="UNIT COST   " dataDxfId="386"/>
    <tableColumn id="13" xr3:uid="{F53F0A1C-D1F3-46D4-9139-B2E521E3E2C7}" name="EXTENDED TOTAL   " dataDxfId="385"/>
    <tableColumn id="14" xr3:uid="{5B6C52AF-B6C0-47FF-A9E6-5B39617BEB96}" name="UNIT COST  2" dataDxfId="384"/>
    <tableColumn id="15" xr3:uid="{036D1585-11C6-4906-864D-BC32F85D839C}" name="EXTENDED TOTAL2" dataDxfId="383"/>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B1BA285-8210-4158-92E7-60C1BE40EFAC}" name="Table001__Page_2_32835" displayName="Table001__Page_2_32835" ref="A55:M81" totalsRowShown="0" headerRowDxfId="382" dataDxfId="381">
  <autoFilter ref="A55:M81" xr:uid="{6B1BA285-8210-4158-92E7-60C1BE40EFAC}"/>
  <sortState xmlns:xlrd2="http://schemas.microsoft.com/office/spreadsheetml/2017/richdata2" ref="A56:M81">
    <sortCondition ref="A13:A39"/>
  </sortState>
  <tableColumns count="13">
    <tableColumn id="1" xr3:uid="{C06C4ACA-975F-4214-BC1E-CF7D6E526549}" name="ITEM NO." dataDxfId="380"/>
    <tableColumn id="2" xr3:uid="{18748498-2CBE-4A45-8133-2944F1BB6CE2}" name="SPEC. NO." dataDxfId="379"/>
    <tableColumn id="3" xr3:uid="{7E52AD81-E301-4735-895E-BD491916632B}" name="DESCRIPTION" dataDxfId="378"/>
    <tableColumn id="4" xr3:uid="{3B91FF25-C7D7-4D73-995A-6D3F62E0A6A5}" name="UNIT" dataDxfId="377"/>
    <tableColumn id="5" xr3:uid="{F1E9ABFA-DA76-496D-AEBC-715F565FA3CE}" name="ESTIMATED QUANTITY" dataDxfId="376"/>
    <tableColumn id="6" xr3:uid="{1D8C3826-AD5A-4BAF-AF1B-2580D9690845}" name="UNIT COST" dataDxfId="375"/>
    <tableColumn id="7" xr3:uid="{4B945837-17E8-4E78-9E7D-41F39FD10255}" name="EXTENDED TOTAL" dataDxfId="374"/>
    <tableColumn id="8" xr3:uid="{BDFB61DC-A1A4-4838-B095-9AFD410B9A7A}" name="UNIT COST " dataDxfId="373"/>
    <tableColumn id="9" xr3:uid="{984918B0-88CC-4AFA-ABF9-937751F4B276}" name="EXTENDED TOTAL " dataDxfId="372"/>
    <tableColumn id="10" xr3:uid="{2F7C4C92-F7BC-483F-9CEA-F6827790C56A}" name="UNIT COST  " dataDxfId="371"/>
    <tableColumn id="11" xr3:uid="{C06ABD23-D724-4304-B961-B2559F23D804}" name="EXTENDED TOTAL  " dataDxfId="370"/>
    <tableColumn id="12" xr3:uid="{EBFCF381-1DEC-4ED7-9E43-A563F97ABF79}" name="UNIT COST   " dataDxfId="369"/>
    <tableColumn id="13" xr3:uid="{C181A70B-2578-4C1E-9F3A-31BEE2C8A477}" name="EXTENDED TOTAL   " dataDxfId="368"/>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676B975-F141-449B-B22F-5AF870AC8A10}" name="Table2936" displayName="Table2936" ref="N55:O80" totalsRowShown="0" headerRowDxfId="367" dataDxfId="366" tableBorderDxfId="365">
  <autoFilter ref="N55:O80" xr:uid="{C676B975-F141-449B-B22F-5AF870AC8A10}"/>
  <tableColumns count="2">
    <tableColumn id="1" xr3:uid="{DA82FCF8-1931-40C3-A61C-82099B28894A}" name="UNIT COST   " dataDxfId="364"/>
    <tableColumn id="2" xr3:uid="{030F147C-9BBE-4DB4-A410-D8BFC0AF991B}" name="EXTENDED TOTAL   " dataDxfId="363"/>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F031AC06-36EF-4984-96FC-03C1166DCB56}" name="Table001__Page_2_3283137" displayName="Table001__Page_2_3283137" ref="A85:O87" totalsRowShown="0" headerRowDxfId="362" dataDxfId="361">
  <autoFilter ref="A85:O87" xr:uid="{F031AC06-36EF-4984-96FC-03C1166DCB56}"/>
  <sortState xmlns:xlrd2="http://schemas.microsoft.com/office/spreadsheetml/2017/richdata2" ref="A86:M87">
    <sortCondition ref="A13:A39"/>
  </sortState>
  <tableColumns count="15">
    <tableColumn id="1" xr3:uid="{87150AA5-4731-4226-9EDB-D9F376D0AA52}" name="ITEM NO." dataDxfId="360"/>
    <tableColumn id="2" xr3:uid="{C1E6E8F9-462C-4A5A-9851-1E5F34C985F0}" name="SPEC. NO." dataDxfId="359"/>
    <tableColumn id="3" xr3:uid="{FFDEC699-EEFD-4E05-936C-C0E142BB82B0}" name="DESCRIPTION" dataDxfId="358"/>
    <tableColumn id="4" xr3:uid="{EE00221F-51B3-4408-82E6-23EBAFA52070}" name="UNIT" dataDxfId="357"/>
    <tableColumn id="5" xr3:uid="{525A970F-EB0D-42B6-8EED-44EB70F9D6AF}" name="ESTIMATED QUANTITY" dataDxfId="356"/>
    <tableColumn id="6" xr3:uid="{68C651DE-A223-469E-AEB1-2F19DC0E1888}" name="UNIT COST" dataDxfId="355"/>
    <tableColumn id="7" xr3:uid="{436853C3-EC9B-426F-898B-76BE226B57A6}" name="EXTENDED TOTAL" dataDxfId="354"/>
    <tableColumn id="8" xr3:uid="{7E696E25-5C6C-4678-8535-1C0C4A7AB4C1}" name="UNIT COST " dataDxfId="353"/>
    <tableColumn id="9" xr3:uid="{EC3F50D7-3F62-4E1F-AA9F-2B5453F4CD4D}" name="EXTENDED TOTAL " dataDxfId="352"/>
    <tableColumn id="10" xr3:uid="{32D3E572-96A2-486C-A95C-59F5AF94B8E3}" name="UNIT COST  " dataDxfId="351"/>
    <tableColumn id="11" xr3:uid="{33F72CCE-7DD2-410F-8A31-C4DD607EB015}" name="EXTENDED TOTAL  " dataDxfId="350"/>
    <tableColumn id="12" xr3:uid="{FBD5CA29-2C16-44CE-8D63-E2C0D0EFEA95}" name="UNIT COST   " dataDxfId="349"/>
    <tableColumn id="13" xr3:uid="{12CC3CB2-DA2E-4607-8437-70175A8AFCFC}" name="EXTENDED TOTAL   " dataDxfId="348"/>
    <tableColumn id="14" xr3:uid="{50B3613B-C454-4014-B301-87D432707BCE}" name="UNIT COST  2" dataDxfId="347"/>
    <tableColumn id="15" xr3:uid="{A32051E9-02CE-4B94-B2B5-66E4454A456E}" name="EXTENDED TOTAL2" dataDxfId="346"/>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0.xml"/><Relationship Id="rId1" Type="http://schemas.openxmlformats.org/officeDocument/2006/relationships/printerSettings" Target="../printerSettings/printerSettings6.bin"/><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17.xml"/><Relationship Id="rId1" Type="http://schemas.openxmlformats.org/officeDocument/2006/relationships/printerSettings" Target="../printerSettings/printerSettings12.bin"/><Relationship Id="rId6" Type="http://schemas.openxmlformats.org/officeDocument/2006/relationships/table" Target="../tables/table34.xml"/><Relationship Id="rId5" Type="http://schemas.openxmlformats.org/officeDocument/2006/relationships/table" Target="../tables/table33.xml"/><Relationship Id="rId4" Type="http://schemas.openxmlformats.org/officeDocument/2006/relationships/table" Target="../tables/table3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drawing" Target="../drawings/drawing4.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7.xml"/><Relationship Id="rId1" Type="http://schemas.openxmlformats.org/officeDocument/2006/relationships/printerSettings" Target="../printerSettings/printerSettings4.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59C32-DD22-498B-835D-D002DDA1FEF0}">
  <sheetPr codeName="Sheet1"/>
  <dimension ref="U15:AE29"/>
  <sheetViews>
    <sheetView topLeftCell="A7" zoomScaleNormal="100" workbookViewId="0">
      <selection activeCell="U24" sqref="U24:Y24"/>
    </sheetView>
  </sheetViews>
  <sheetFormatPr defaultRowHeight="14.5" x14ac:dyDescent="0.35"/>
  <cols>
    <col min="21" max="21" width="20.81640625" bestFit="1" customWidth="1"/>
    <col min="22" max="22" width="32.26953125" bestFit="1" customWidth="1"/>
    <col min="23" max="23" width="43.81640625" customWidth="1"/>
    <col min="24" max="24" width="10" bestFit="1" customWidth="1"/>
    <col min="25" max="25" width="15.54296875" customWidth="1"/>
    <col min="26" max="26" width="15" bestFit="1" customWidth="1"/>
    <col min="27" max="27" width="14.7265625" bestFit="1" customWidth="1"/>
    <col min="28" max="28" width="17.1796875" customWidth="1"/>
    <col min="29" max="29" width="14.7265625" bestFit="1" customWidth="1"/>
    <col min="30" max="30" width="16" bestFit="1" customWidth="1"/>
    <col min="31" max="31" width="14.7265625" bestFit="1" customWidth="1"/>
  </cols>
  <sheetData>
    <row r="15" spans="21:22" ht="15.5" x14ac:dyDescent="0.35">
      <c r="U15" s="1" t="s">
        <v>0</v>
      </c>
      <c r="V15" t="s">
        <v>1</v>
      </c>
    </row>
    <row r="16" spans="21:22" ht="15.5" x14ac:dyDescent="0.35">
      <c r="U16" s="1" t="s">
        <v>2</v>
      </c>
      <c r="V16" t="str">
        <f>VLOOKUP(V15,DATA!$A$2:$E$80,3)</f>
        <v>Crossville</v>
      </c>
    </row>
    <row r="17" spans="21:31" ht="15.5" x14ac:dyDescent="0.35">
      <c r="U17" s="1" t="s">
        <v>3</v>
      </c>
      <c r="V17" t="str">
        <f>VLOOKUP(V15,DATA!$A$2:$E$80,4)</f>
        <v>Crossville Memorial-Whitson Field</v>
      </c>
    </row>
    <row r="18" spans="21:31" ht="15.5" x14ac:dyDescent="0.35">
      <c r="U18" s="1" t="s">
        <v>4</v>
      </c>
      <c r="V18" t="s">
        <v>5</v>
      </c>
    </row>
    <row r="19" spans="21:31" ht="15.5" x14ac:dyDescent="0.35">
      <c r="U19" s="1" t="s">
        <v>6</v>
      </c>
      <c r="V19" t="s">
        <v>7</v>
      </c>
    </row>
    <row r="20" spans="21:31" ht="15.5" x14ac:dyDescent="0.35">
      <c r="U20" s="1" t="s">
        <v>8</v>
      </c>
      <c r="V20" s="2">
        <v>44637</v>
      </c>
    </row>
    <row r="21" spans="21:31" ht="15.5" x14ac:dyDescent="0.35">
      <c r="U21" s="1" t="s">
        <v>9</v>
      </c>
      <c r="V21" t="str">
        <f>VLOOKUP(V15,DATA!$A$2:$E$80,2)</f>
        <v>Cumberland</v>
      </c>
    </row>
    <row r="22" spans="21:31" ht="15.5" x14ac:dyDescent="0.35">
      <c r="U22" s="1" t="s">
        <v>10</v>
      </c>
      <c r="V22" t="str">
        <f>VLOOKUP(V15,DATA!$A$2:$E$80,5)</f>
        <v>East</v>
      </c>
    </row>
    <row r="23" spans="21:31" ht="15" thickBot="1" x14ac:dyDescent="0.4"/>
    <row r="24" spans="21:31" ht="16" thickBot="1" x14ac:dyDescent="0.4">
      <c r="U24" s="170" t="s">
        <v>11</v>
      </c>
      <c r="V24" s="171"/>
      <c r="W24" s="171"/>
      <c r="X24" s="171"/>
      <c r="Y24" s="172"/>
      <c r="Z24" s="170" t="s">
        <v>12</v>
      </c>
      <c r="AA24" s="172"/>
      <c r="AB24" s="170" t="s">
        <v>13</v>
      </c>
      <c r="AC24" s="172"/>
      <c r="AD24" s="170" t="s">
        <v>14</v>
      </c>
      <c r="AE24" s="172"/>
    </row>
    <row r="25" spans="21:31" ht="29" x14ac:dyDescent="0.35">
      <c r="U25" s="5" t="s">
        <v>15</v>
      </c>
      <c r="V25" s="5" t="s">
        <v>16</v>
      </c>
      <c r="W25" s="5" t="s">
        <v>17</v>
      </c>
      <c r="X25" s="5" t="s">
        <v>18</v>
      </c>
      <c r="Y25" s="5" t="s">
        <v>19</v>
      </c>
      <c r="Z25" s="5" t="s">
        <v>20</v>
      </c>
      <c r="AA25" s="5" t="s">
        <v>21</v>
      </c>
      <c r="AB25" s="5" t="s">
        <v>22</v>
      </c>
      <c r="AC25" s="5" t="s">
        <v>23</v>
      </c>
      <c r="AD25" s="5" t="s">
        <v>24</v>
      </c>
      <c r="AE25" s="5" t="s">
        <v>25</v>
      </c>
    </row>
    <row r="26" spans="21:31" x14ac:dyDescent="0.35">
      <c r="U26" s="5">
        <v>1</v>
      </c>
      <c r="V26" s="5" t="s">
        <v>26</v>
      </c>
      <c r="W26" s="4" t="s">
        <v>27</v>
      </c>
      <c r="X26" s="5" t="s">
        <v>28</v>
      </c>
      <c r="Y26" s="8">
        <v>1</v>
      </c>
      <c r="Z26" s="7">
        <v>15000</v>
      </c>
      <c r="AA26" s="7">
        <v>15000</v>
      </c>
      <c r="AB26" s="7">
        <v>13200</v>
      </c>
      <c r="AC26" s="7">
        <v>13200</v>
      </c>
      <c r="AD26" s="7">
        <v>11000</v>
      </c>
      <c r="AE26" s="7">
        <v>11000</v>
      </c>
    </row>
    <row r="27" spans="21:31" x14ac:dyDescent="0.35">
      <c r="U27" s="5">
        <v>2</v>
      </c>
      <c r="V27" s="5" t="s">
        <v>29</v>
      </c>
      <c r="W27" s="4" t="s">
        <v>30</v>
      </c>
      <c r="X27" s="5" t="s">
        <v>28</v>
      </c>
      <c r="Y27" s="8">
        <v>1</v>
      </c>
      <c r="Z27" s="7">
        <v>5000</v>
      </c>
      <c r="AA27" s="7">
        <v>5000</v>
      </c>
      <c r="AB27" s="7">
        <v>7690</v>
      </c>
      <c r="AC27" s="7">
        <v>7690</v>
      </c>
      <c r="AD27" s="7">
        <v>8000</v>
      </c>
      <c r="AE27" s="7">
        <v>8000</v>
      </c>
    </row>
    <row r="28" spans="21:31" ht="29.5" thickBot="1" x14ac:dyDescent="0.4">
      <c r="U28" s="5">
        <v>3</v>
      </c>
      <c r="V28" s="5" t="s">
        <v>31</v>
      </c>
      <c r="W28" s="4" t="s">
        <v>32</v>
      </c>
      <c r="X28" s="5" t="s">
        <v>28</v>
      </c>
      <c r="Y28" s="8">
        <v>1</v>
      </c>
      <c r="Z28" s="7">
        <v>115000</v>
      </c>
      <c r="AA28" s="7">
        <v>115000</v>
      </c>
      <c r="AB28" s="7">
        <v>68715</v>
      </c>
      <c r="AC28" s="7">
        <v>68715</v>
      </c>
      <c r="AD28" s="7">
        <v>108025</v>
      </c>
      <c r="AE28" s="7">
        <v>108025</v>
      </c>
    </row>
    <row r="29" spans="21:31" ht="16" thickBot="1" x14ac:dyDescent="0.4">
      <c r="U29" s="4"/>
      <c r="V29" s="4"/>
      <c r="W29" s="3"/>
      <c r="X29" s="4"/>
      <c r="Y29" s="160" t="s">
        <v>33</v>
      </c>
      <c r="Z29" s="9"/>
      <c r="AA29" s="9">
        <v>135000</v>
      </c>
      <c r="AB29" s="9"/>
      <c r="AC29" s="9">
        <v>89605</v>
      </c>
      <c r="AD29" s="9"/>
      <c r="AE29" s="10">
        <v>127025</v>
      </c>
    </row>
  </sheetData>
  <mergeCells count="4">
    <mergeCell ref="U24:Y24"/>
    <mergeCell ref="Z24:AA24"/>
    <mergeCell ref="AB24:AC24"/>
    <mergeCell ref="AD24:AE24"/>
  </mergeCells>
  <pageMargins left="0.7" right="0.7" top="0.75" bottom="0.75" header="0.3" footer="0.3"/>
  <drawing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C0B39-A8B5-405A-8E87-7E1BB0EDCDB5}">
  <dimension ref="A1:O63"/>
  <sheetViews>
    <sheetView topLeftCell="B6" zoomScale="70" zoomScaleNormal="70" workbookViewId="0"/>
  </sheetViews>
  <sheetFormatPr defaultRowHeight="14.5" x14ac:dyDescent="0.35"/>
  <cols>
    <col min="1" max="1" width="20.81640625" bestFit="1" customWidth="1"/>
    <col min="2" max="2" width="21.453125" style="32" bestFit="1" customWidth="1"/>
    <col min="3" max="3" width="127.453125" customWidth="1"/>
    <col min="4" max="4" width="10" bestFit="1" customWidth="1"/>
    <col min="5" max="5" width="25.54296875" style="6" bestFit="1" customWidth="1"/>
    <col min="6" max="6" width="15" bestFit="1" customWidth="1"/>
    <col min="7" max="7" width="20.81640625" bestFit="1" customWidth="1"/>
    <col min="8" max="8" width="16" bestFit="1" customWidth="1"/>
    <col min="9" max="9" width="22" bestFit="1" customWidth="1"/>
    <col min="10" max="10" width="16" bestFit="1" customWidth="1"/>
    <col min="11" max="11" width="22" bestFit="1" customWidth="1"/>
    <col min="12" max="12" width="16" bestFit="1" customWidth="1"/>
    <col min="13" max="13" width="22" bestFit="1" customWidth="1"/>
    <col min="14" max="15" width="20.54296875" bestFit="1" customWidth="1"/>
  </cols>
  <sheetData>
    <row r="1" spans="1:15" x14ac:dyDescent="0.35">
      <c r="A1" s="14"/>
      <c r="B1" s="29"/>
      <c r="C1" s="14"/>
      <c r="D1" s="14"/>
      <c r="E1" s="16"/>
      <c r="F1" s="14"/>
      <c r="G1" s="14"/>
      <c r="H1" s="14"/>
      <c r="I1" s="14"/>
      <c r="J1" s="14"/>
      <c r="K1" s="14"/>
      <c r="L1" s="14"/>
      <c r="M1" s="14"/>
    </row>
    <row r="2" spans="1:15" x14ac:dyDescent="0.35">
      <c r="A2" s="14"/>
      <c r="B2" s="29"/>
      <c r="C2" s="14"/>
      <c r="D2" s="14"/>
      <c r="E2" s="16"/>
      <c r="F2" s="14"/>
      <c r="G2" s="14"/>
      <c r="H2" s="14"/>
      <c r="I2" s="14"/>
      <c r="J2" s="14"/>
      <c r="K2" s="14"/>
      <c r="L2" s="14"/>
      <c r="M2" s="14"/>
    </row>
    <row r="3" spans="1:15" ht="15.5" x14ac:dyDescent="0.35">
      <c r="A3" s="15" t="s">
        <v>0</v>
      </c>
      <c r="B3" s="29" t="s">
        <v>226</v>
      </c>
      <c r="C3" s="14"/>
      <c r="D3" s="15"/>
      <c r="E3" s="16"/>
      <c r="F3" s="14"/>
      <c r="G3" s="14"/>
      <c r="H3" s="14"/>
      <c r="I3" s="14"/>
      <c r="J3" s="14"/>
      <c r="K3" s="14"/>
      <c r="L3" s="14"/>
      <c r="M3" s="14"/>
    </row>
    <row r="4" spans="1:15" ht="15.5" x14ac:dyDescent="0.35">
      <c r="A4" s="15" t="s">
        <v>2</v>
      </c>
      <c r="B4" s="29" t="str">
        <f>VLOOKUP($B$3,DATA!$A$2:$E$80,3)</f>
        <v>Lebanon</v>
      </c>
      <c r="C4" s="14"/>
      <c r="D4" s="15"/>
      <c r="E4" s="16"/>
      <c r="F4" s="14"/>
      <c r="G4" s="14"/>
      <c r="H4" s="14"/>
      <c r="I4" s="14"/>
      <c r="J4" s="14"/>
      <c r="K4" s="14"/>
      <c r="L4" s="14"/>
      <c r="M4" s="14"/>
    </row>
    <row r="5" spans="1:15" ht="15.5" x14ac:dyDescent="0.35">
      <c r="A5" s="15" t="s">
        <v>3</v>
      </c>
      <c r="B5" s="29" t="str">
        <f>VLOOKUP($B$3,DATA!$A$2:$E$80,4)</f>
        <v>Lebanon Municipal</v>
      </c>
      <c r="C5" s="14"/>
      <c r="D5" s="15"/>
      <c r="E5" s="16"/>
      <c r="F5" s="14"/>
      <c r="G5" s="14"/>
      <c r="H5" s="14"/>
      <c r="I5" s="14"/>
      <c r="J5" s="14"/>
      <c r="K5" s="14"/>
      <c r="L5" s="14"/>
      <c r="M5" s="14"/>
    </row>
    <row r="6" spans="1:15" ht="15.5" x14ac:dyDescent="0.35">
      <c r="A6" s="15" t="s">
        <v>4</v>
      </c>
      <c r="B6" s="29" t="s">
        <v>1310</v>
      </c>
      <c r="C6" s="14"/>
      <c r="D6" s="15"/>
      <c r="E6" s="16"/>
      <c r="F6" s="14"/>
      <c r="G6" s="14"/>
      <c r="H6" s="14"/>
      <c r="I6" s="14"/>
      <c r="J6" s="14"/>
      <c r="K6" s="14"/>
      <c r="L6" s="14"/>
      <c r="M6" s="14"/>
    </row>
    <row r="7" spans="1:15" ht="15.5" x14ac:dyDescent="0.35">
      <c r="A7" s="15" t="s">
        <v>6</v>
      </c>
      <c r="B7" s="155" t="s">
        <v>380</v>
      </c>
      <c r="C7" s="14"/>
      <c r="D7" s="15"/>
      <c r="E7" s="16"/>
      <c r="F7" s="14"/>
      <c r="G7" s="14"/>
      <c r="H7" s="14"/>
      <c r="I7" s="14"/>
      <c r="J7" s="14"/>
      <c r="K7" s="14"/>
      <c r="L7" s="14"/>
      <c r="M7" s="14"/>
    </row>
    <row r="8" spans="1:15" ht="15.5" x14ac:dyDescent="0.35">
      <c r="A8" s="15" t="s">
        <v>8</v>
      </c>
      <c r="B8" s="30">
        <v>45266</v>
      </c>
      <c r="C8" s="14"/>
      <c r="D8" s="15"/>
      <c r="E8" s="33"/>
      <c r="F8" s="14"/>
      <c r="G8" s="14"/>
      <c r="H8" s="14"/>
      <c r="I8" s="14"/>
      <c r="J8" s="14"/>
      <c r="K8" s="14"/>
      <c r="L8" s="14"/>
      <c r="M8" s="14"/>
    </row>
    <row r="9" spans="1:15" ht="15.5" x14ac:dyDescent="0.35">
      <c r="A9" s="15" t="s">
        <v>9</v>
      </c>
      <c r="B9" s="29" t="str">
        <f>VLOOKUP($B$3,DATA!$A$2:$E$80,2)</f>
        <v>Wilson</v>
      </c>
      <c r="C9" s="14"/>
      <c r="D9" s="15"/>
      <c r="E9" s="16"/>
      <c r="F9" s="14"/>
      <c r="G9" s="14"/>
      <c r="H9" s="14"/>
      <c r="I9" s="14"/>
      <c r="J9" s="14"/>
      <c r="K9" s="14"/>
      <c r="L9" s="14"/>
      <c r="M9" s="14"/>
    </row>
    <row r="10" spans="1:15" ht="15.5" x14ac:dyDescent="0.35">
      <c r="A10" s="15" t="s">
        <v>10</v>
      </c>
      <c r="B10" s="29" t="str">
        <f>VLOOKUP($B$3,DATA!$A$2:$E$80,5)</f>
        <v>Middle</v>
      </c>
      <c r="C10" s="14"/>
      <c r="D10" s="15"/>
      <c r="E10" s="16"/>
      <c r="F10" s="14"/>
      <c r="G10" s="14"/>
      <c r="H10" s="14"/>
      <c r="I10" s="14"/>
      <c r="J10" s="14"/>
      <c r="K10" s="14"/>
      <c r="L10" s="14"/>
      <c r="M10" s="14"/>
    </row>
    <row r="11" spans="1:15" ht="15.5" x14ac:dyDescent="0.35">
      <c r="A11" s="15"/>
      <c r="B11" s="29"/>
      <c r="C11" s="14"/>
      <c r="D11" s="15"/>
      <c r="E11" s="16"/>
      <c r="F11" s="14"/>
      <c r="G11" s="14"/>
      <c r="H11" s="14"/>
      <c r="I11" s="14"/>
      <c r="J11" s="14"/>
      <c r="K11" s="14"/>
      <c r="L11" s="14"/>
      <c r="M11" s="14"/>
    </row>
    <row r="12" spans="1:15" ht="15.5" x14ac:dyDescent="0.35">
      <c r="A12" s="173" t="s">
        <v>1231</v>
      </c>
      <c r="B12" s="174"/>
      <c r="C12" s="174"/>
      <c r="D12" s="174"/>
      <c r="E12" s="175"/>
      <c r="F12" s="173" t="s">
        <v>12</v>
      </c>
      <c r="G12" s="175"/>
      <c r="H12" s="173" t="s">
        <v>1232</v>
      </c>
      <c r="I12" s="175"/>
      <c r="J12" s="173" t="s">
        <v>1233</v>
      </c>
      <c r="K12" s="175"/>
      <c r="L12" s="173" t="s">
        <v>1234</v>
      </c>
      <c r="M12" s="175"/>
      <c r="N12" s="173" t="s">
        <v>1134</v>
      </c>
      <c r="O12" s="175"/>
    </row>
    <row r="13" spans="1:15" x14ac:dyDescent="0.35">
      <c r="A13" s="16" t="s">
        <v>15</v>
      </c>
      <c r="B13" s="23" t="s">
        <v>396</v>
      </c>
      <c r="C13" s="16" t="s">
        <v>17</v>
      </c>
      <c r="D13" s="16" t="s">
        <v>18</v>
      </c>
      <c r="E13" s="16" t="s">
        <v>19</v>
      </c>
      <c r="F13" s="16" t="s">
        <v>20</v>
      </c>
      <c r="G13" s="16" t="s">
        <v>21</v>
      </c>
      <c r="H13" s="16" t="s">
        <v>22</v>
      </c>
      <c r="I13" s="16" t="s">
        <v>23</v>
      </c>
      <c r="J13" s="16" t="s">
        <v>24</v>
      </c>
      <c r="K13" s="16" t="s">
        <v>25</v>
      </c>
      <c r="L13" s="16" t="s">
        <v>581</v>
      </c>
      <c r="M13" s="16" t="s">
        <v>582</v>
      </c>
      <c r="N13" s="16" t="s">
        <v>579</v>
      </c>
      <c r="O13" s="16" t="s">
        <v>580</v>
      </c>
    </row>
    <row r="14" spans="1:15" ht="29" x14ac:dyDescent="0.35">
      <c r="A14" s="46">
        <v>1</v>
      </c>
      <c r="B14" s="23" t="s">
        <v>476</v>
      </c>
      <c r="C14" s="93" t="s">
        <v>1235</v>
      </c>
      <c r="D14" s="16" t="s">
        <v>478</v>
      </c>
      <c r="E14" s="46">
        <v>6</v>
      </c>
      <c r="F14" s="56">
        <v>250</v>
      </c>
      <c r="G14" s="56">
        <v>1500</v>
      </c>
      <c r="H14" s="56">
        <v>500</v>
      </c>
      <c r="I14" s="56">
        <v>3000</v>
      </c>
      <c r="J14" s="56">
        <v>725</v>
      </c>
      <c r="K14" s="56">
        <v>4350</v>
      </c>
      <c r="L14" s="56">
        <v>677</v>
      </c>
      <c r="M14" s="56">
        <v>4062</v>
      </c>
      <c r="N14" s="47">
        <v>665</v>
      </c>
      <c r="O14" s="47">
        <v>3990</v>
      </c>
    </row>
    <row r="15" spans="1:15" x14ac:dyDescent="0.35">
      <c r="A15" s="46">
        <v>2</v>
      </c>
      <c r="B15" s="23" t="s">
        <v>26</v>
      </c>
      <c r="C15" s="45" t="s">
        <v>598</v>
      </c>
      <c r="D15" s="16" t="s">
        <v>28</v>
      </c>
      <c r="E15" s="46">
        <v>1</v>
      </c>
      <c r="F15" s="56">
        <v>106700</v>
      </c>
      <c r="G15" s="56">
        <v>106700</v>
      </c>
      <c r="H15" s="56">
        <v>55000</v>
      </c>
      <c r="I15" s="56">
        <v>55000</v>
      </c>
      <c r="J15" s="56">
        <v>47600</v>
      </c>
      <c r="K15" s="56">
        <v>47600</v>
      </c>
      <c r="L15" s="56">
        <v>105000</v>
      </c>
      <c r="M15" s="56">
        <v>105000</v>
      </c>
      <c r="N15" s="47">
        <v>58000</v>
      </c>
      <c r="O15" s="47">
        <v>58000</v>
      </c>
    </row>
    <row r="16" spans="1:15" ht="15" customHeight="1" x14ac:dyDescent="0.35">
      <c r="A16" s="46">
        <v>3</v>
      </c>
      <c r="B16" s="23" t="s">
        <v>962</v>
      </c>
      <c r="C16" s="45" t="s">
        <v>684</v>
      </c>
      <c r="D16" s="16" t="s">
        <v>28</v>
      </c>
      <c r="E16" s="46">
        <v>1</v>
      </c>
      <c r="F16" s="56">
        <v>60000</v>
      </c>
      <c r="G16" s="56">
        <v>60000</v>
      </c>
      <c r="H16" s="56">
        <v>15000</v>
      </c>
      <c r="I16" s="56">
        <v>15000</v>
      </c>
      <c r="J16" s="56">
        <v>35000</v>
      </c>
      <c r="K16" s="56">
        <v>35000</v>
      </c>
      <c r="L16" s="56">
        <v>2270</v>
      </c>
      <c r="M16" s="56">
        <v>2270</v>
      </c>
      <c r="N16" s="47">
        <v>58000</v>
      </c>
      <c r="O16" s="47">
        <v>58000</v>
      </c>
    </row>
    <row r="17" spans="1:15" ht="15" customHeight="1" x14ac:dyDescent="0.35">
      <c r="A17" s="46">
        <v>4</v>
      </c>
      <c r="B17" s="23" t="s">
        <v>683</v>
      </c>
      <c r="C17" s="45" t="s">
        <v>963</v>
      </c>
      <c r="D17" s="16" t="s">
        <v>28</v>
      </c>
      <c r="E17" s="46">
        <v>1</v>
      </c>
      <c r="F17" s="57">
        <v>20000</v>
      </c>
      <c r="G17" s="56">
        <v>20000</v>
      </c>
      <c r="H17" s="56">
        <v>15000</v>
      </c>
      <c r="I17" s="56">
        <v>15000</v>
      </c>
      <c r="J17" s="56">
        <v>15000</v>
      </c>
      <c r="K17" s="56">
        <v>15000</v>
      </c>
      <c r="L17" s="56">
        <v>8495</v>
      </c>
      <c r="M17" s="56">
        <v>8495</v>
      </c>
      <c r="N17" s="47">
        <v>45000</v>
      </c>
      <c r="O17" s="47">
        <v>45000</v>
      </c>
    </row>
    <row r="18" spans="1:15" x14ac:dyDescent="0.35">
      <c r="A18" s="46">
        <v>5</v>
      </c>
      <c r="B18" s="23" t="s">
        <v>964</v>
      </c>
      <c r="C18" s="45" t="s">
        <v>965</v>
      </c>
      <c r="D18" s="16" t="s">
        <v>478</v>
      </c>
      <c r="E18" s="46">
        <v>50</v>
      </c>
      <c r="F18" s="56">
        <v>350</v>
      </c>
      <c r="G18" s="56">
        <v>17500</v>
      </c>
      <c r="H18" s="56">
        <v>400</v>
      </c>
      <c r="I18" s="56">
        <v>20000</v>
      </c>
      <c r="J18" s="56">
        <v>300</v>
      </c>
      <c r="K18" s="56">
        <v>15000</v>
      </c>
      <c r="L18" s="56">
        <v>328</v>
      </c>
      <c r="M18" s="56">
        <v>16400</v>
      </c>
      <c r="N18" s="47">
        <v>500</v>
      </c>
      <c r="O18" s="47">
        <v>25000</v>
      </c>
    </row>
    <row r="19" spans="1:15" ht="15" customHeight="1" x14ac:dyDescent="0.35">
      <c r="A19" s="46">
        <v>6</v>
      </c>
      <c r="B19" s="23" t="s">
        <v>502</v>
      </c>
      <c r="C19" s="45" t="s">
        <v>1236</v>
      </c>
      <c r="D19" s="16" t="s">
        <v>412</v>
      </c>
      <c r="E19" s="48">
        <v>1880</v>
      </c>
      <c r="F19" s="57">
        <v>5</v>
      </c>
      <c r="G19" s="56">
        <v>9400</v>
      </c>
      <c r="H19" s="56">
        <v>12.5</v>
      </c>
      <c r="I19" s="56">
        <v>23500</v>
      </c>
      <c r="J19" s="56">
        <v>22</v>
      </c>
      <c r="K19" s="56">
        <v>41360</v>
      </c>
      <c r="L19" s="56">
        <v>51</v>
      </c>
      <c r="M19" s="56">
        <v>95880</v>
      </c>
      <c r="N19" s="47">
        <v>21.3</v>
      </c>
      <c r="O19" s="47">
        <v>40044</v>
      </c>
    </row>
    <row r="20" spans="1:15" ht="29" x14ac:dyDescent="0.35">
      <c r="A20" s="46">
        <v>7</v>
      </c>
      <c r="B20" s="23" t="s">
        <v>553</v>
      </c>
      <c r="C20" s="93" t="s">
        <v>1237</v>
      </c>
      <c r="D20" s="16" t="s">
        <v>407</v>
      </c>
      <c r="E20" s="46">
        <v>100</v>
      </c>
      <c r="F20" s="57">
        <v>175</v>
      </c>
      <c r="G20" s="56">
        <v>17500</v>
      </c>
      <c r="H20" s="56">
        <v>300</v>
      </c>
      <c r="I20" s="56">
        <v>30000</v>
      </c>
      <c r="J20" s="56">
        <v>275</v>
      </c>
      <c r="K20" s="56">
        <v>27500</v>
      </c>
      <c r="L20" s="56">
        <v>143</v>
      </c>
      <c r="M20" s="56">
        <v>14300</v>
      </c>
      <c r="N20" s="47">
        <v>150</v>
      </c>
      <c r="O20" s="47">
        <v>15000</v>
      </c>
    </row>
    <row r="21" spans="1:15" ht="29" x14ac:dyDescent="0.35">
      <c r="A21" s="46">
        <v>8</v>
      </c>
      <c r="B21" s="23" t="s">
        <v>555</v>
      </c>
      <c r="C21" s="93" t="s">
        <v>1238</v>
      </c>
      <c r="D21" s="16" t="s">
        <v>478</v>
      </c>
      <c r="E21" s="46">
        <v>1</v>
      </c>
      <c r="F21" s="57">
        <v>2000</v>
      </c>
      <c r="G21" s="56">
        <v>2000</v>
      </c>
      <c r="H21" s="56">
        <v>6500</v>
      </c>
      <c r="I21" s="56">
        <v>6500</v>
      </c>
      <c r="J21" s="56">
        <v>2000</v>
      </c>
      <c r="K21" s="56">
        <v>2000</v>
      </c>
      <c r="L21" s="56">
        <v>1110</v>
      </c>
      <c r="M21" s="56">
        <v>1110</v>
      </c>
      <c r="N21" s="47">
        <v>4500</v>
      </c>
      <c r="O21" s="47">
        <v>4500</v>
      </c>
    </row>
    <row r="22" spans="1:15" x14ac:dyDescent="0.35">
      <c r="A22" s="46">
        <v>9</v>
      </c>
      <c r="B22" s="23" t="s">
        <v>559</v>
      </c>
      <c r="C22" s="45" t="s">
        <v>1239</v>
      </c>
      <c r="D22" s="16" t="s">
        <v>478</v>
      </c>
      <c r="E22" s="46">
        <v>16</v>
      </c>
      <c r="F22" s="56">
        <v>1200</v>
      </c>
      <c r="G22" s="56">
        <v>19200</v>
      </c>
      <c r="H22" s="56">
        <v>1850</v>
      </c>
      <c r="I22" s="56">
        <v>29600</v>
      </c>
      <c r="J22" s="56">
        <v>1250</v>
      </c>
      <c r="K22" s="56">
        <v>20000</v>
      </c>
      <c r="L22" s="56">
        <v>1140</v>
      </c>
      <c r="M22" s="56">
        <v>18240</v>
      </c>
      <c r="N22" s="47">
        <v>1800</v>
      </c>
      <c r="O22" s="47">
        <v>28800</v>
      </c>
    </row>
    <row r="23" spans="1:15" x14ac:dyDescent="0.35">
      <c r="A23" s="46">
        <v>10</v>
      </c>
      <c r="B23" s="23" t="s">
        <v>1013</v>
      </c>
      <c r="C23" s="45" t="s">
        <v>1014</v>
      </c>
      <c r="D23" s="16" t="s">
        <v>428</v>
      </c>
      <c r="E23" s="46">
        <v>5</v>
      </c>
      <c r="F23" s="56">
        <v>250</v>
      </c>
      <c r="G23" s="56">
        <v>1250</v>
      </c>
      <c r="H23" s="56">
        <v>350</v>
      </c>
      <c r="I23" s="56">
        <v>1750</v>
      </c>
      <c r="J23" s="56">
        <v>800</v>
      </c>
      <c r="K23" s="56">
        <v>4000</v>
      </c>
      <c r="L23" s="56">
        <v>1130</v>
      </c>
      <c r="M23" s="56">
        <v>5650</v>
      </c>
      <c r="N23" s="47">
        <v>155</v>
      </c>
      <c r="O23" s="47">
        <v>775</v>
      </c>
    </row>
    <row r="24" spans="1:15" x14ac:dyDescent="0.35">
      <c r="A24" s="46">
        <v>11</v>
      </c>
      <c r="B24" s="23" t="s">
        <v>504</v>
      </c>
      <c r="C24" s="45" t="s">
        <v>1240</v>
      </c>
      <c r="D24" s="16" t="s">
        <v>412</v>
      </c>
      <c r="E24" s="46">
        <v>1775</v>
      </c>
      <c r="F24" s="57">
        <v>1.5</v>
      </c>
      <c r="G24" s="56">
        <v>2662.5</v>
      </c>
      <c r="H24" s="56">
        <v>7.25</v>
      </c>
      <c r="I24" s="56">
        <v>12868.75</v>
      </c>
      <c r="J24" s="56">
        <v>4.5</v>
      </c>
      <c r="K24" s="56">
        <v>7987.5</v>
      </c>
      <c r="L24" s="56">
        <v>2.2000000000000002</v>
      </c>
      <c r="M24" s="56">
        <v>3905</v>
      </c>
      <c r="N24" s="47">
        <v>5.25</v>
      </c>
      <c r="O24" s="47">
        <v>9318.75</v>
      </c>
    </row>
    <row r="25" spans="1:15" x14ac:dyDescent="0.35">
      <c r="A25" s="46">
        <v>12</v>
      </c>
      <c r="B25" s="23" t="s">
        <v>549</v>
      </c>
      <c r="C25" s="45" t="s">
        <v>1241</v>
      </c>
      <c r="D25" s="16" t="s">
        <v>412</v>
      </c>
      <c r="E25" s="46">
        <v>335</v>
      </c>
      <c r="F25" s="57">
        <v>9</v>
      </c>
      <c r="G25" s="56">
        <v>3015</v>
      </c>
      <c r="H25" s="56">
        <v>20</v>
      </c>
      <c r="I25" s="56">
        <v>6700</v>
      </c>
      <c r="J25" s="56">
        <v>15</v>
      </c>
      <c r="K25" s="56">
        <v>5025</v>
      </c>
      <c r="L25" s="56">
        <v>11</v>
      </c>
      <c r="M25" s="56">
        <v>3685</v>
      </c>
      <c r="N25" s="47">
        <v>24</v>
      </c>
      <c r="O25" s="47">
        <v>8040</v>
      </c>
    </row>
    <row r="26" spans="1:15" x14ac:dyDescent="0.35">
      <c r="A26" s="46">
        <v>13</v>
      </c>
      <c r="B26" s="23" t="s">
        <v>29</v>
      </c>
      <c r="C26" s="45" t="s">
        <v>1242</v>
      </c>
      <c r="D26" s="16" t="s">
        <v>28</v>
      </c>
      <c r="E26" s="46">
        <v>1</v>
      </c>
      <c r="F26" s="57">
        <v>10000</v>
      </c>
      <c r="G26" s="56">
        <v>10000</v>
      </c>
      <c r="H26" s="56">
        <v>10000</v>
      </c>
      <c r="I26" s="56">
        <v>10000</v>
      </c>
      <c r="J26" s="56">
        <v>55000</v>
      </c>
      <c r="K26" s="56">
        <v>55000</v>
      </c>
      <c r="L26" s="56">
        <v>23000</v>
      </c>
      <c r="M26" s="56">
        <v>23000</v>
      </c>
      <c r="N26" s="47">
        <v>50000</v>
      </c>
      <c r="O26" s="47">
        <v>50000</v>
      </c>
    </row>
    <row r="27" spans="1:15" x14ac:dyDescent="0.35">
      <c r="A27" s="46">
        <v>14</v>
      </c>
      <c r="B27" s="23" t="s">
        <v>1065</v>
      </c>
      <c r="C27" s="45" t="s">
        <v>30</v>
      </c>
      <c r="D27" s="16" t="s">
        <v>28</v>
      </c>
      <c r="E27" s="46">
        <v>1</v>
      </c>
      <c r="F27" s="57">
        <v>50000</v>
      </c>
      <c r="G27" s="56">
        <v>50000</v>
      </c>
      <c r="H27" s="56">
        <v>12500</v>
      </c>
      <c r="I27" s="56">
        <v>12500</v>
      </c>
      <c r="J27" s="56">
        <v>45000</v>
      </c>
      <c r="K27" s="56">
        <v>45000</v>
      </c>
      <c r="L27" s="56">
        <v>64250</v>
      </c>
      <c r="M27" s="56">
        <v>64250</v>
      </c>
      <c r="N27" s="47">
        <v>50000</v>
      </c>
      <c r="O27" s="47">
        <v>50000</v>
      </c>
    </row>
    <row r="28" spans="1:15" ht="29" x14ac:dyDescent="0.35">
      <c r="A28" s="46">
        <v>15</v>
      </c>
      <c r="B28" s="23" t="s">
        <v>828</v>
      </c>
      <c r="C28" s="93" t="s">
        <v>1243</v>
      </c>
      <c r="D28" s="16" t="s">
        <v>407</v>
      </c>
      <c r="E28" s="46">
        <v>23500</v>
      </c>
      <c r="F28" s="56">
        <v>3</v>
      </c>
      <c r="G28" s="56">
        <v>70500</v>
      </c>
      <c r="H28" s="56">
        <v>2.25</v>
      </c>
      <c r="I28" s="56">
        <v>52875</v>
      </c>
      <c r="J28" s="56">
        <v>2</v>
      </c>
      <c r="K28" s="56">
        <v>47000</v>
      </c>
      <c r="L28" s="56">
        <v>2.7</v>
      </c>
      <c r="M28" s="56">
        <v>63450</v>
      </c>
      <c r="N28" s="47">
        <v>2.0499999999999998</v>
      </c>
      <c r="O28" s="47">
        <v>48175</v>
      </c>
    </row>
    <row r="29" spans="1:15" x14ac:dyDescent="0.35">
      <c r="A29" s="46">
        <v>16</v>
      </c>
      <c r="B29" s="23" t="s">
        <v>830</v>
      </c>
      <c r="C29" s="45" t="s">
        <v>1244</v>
      </c>
      <c r="D29" s="16" t="s">
        <v>407</v>
      </c>
      <c r="E29" s="46">
        <v>10000</v>
      </c>
      <c r="F29" s="56">
        <v>3</v>
      </c>
      <c r="G29" s="56">
        <v>30000</v>
      </c>
      <c r="H29" s="56">
        <v>2.5</v>
      </c>
      <c r="I29" s="56">
        <v>25000</v>
      </c>
      <c r="J29" s="56">
        <v>2</v>
      </c>
      <c r="K29" s="56">
        <v>20000</v>
      </c>
      <c r="L29" s="56">
        <v>1.6</v>
      </c>
      <c r="M29" s="56">
        <v>16000</v>
      </c>
      <c r="N29" s="47">
        <v>2.85</v>
      </c>
      <c r="O29" s="47">
        <v>28500</v>
      </c>
    </row>
    <row r="30" spans="1:15" x14ac:dyDescent="0.35">
      <c r="A30" s="46">
        <v>17</v>
      </c>
      <c r="B30" s="23" t="s">
        <v>832</v>
      </c>
      <c r="C30" s="93" t="s">
        <v>1245</v>
      </c>
      <c r="D30" s="16" t="s">
        <v>407</v>
      </c>
      <c r="E30" s="46">
        <v>250</v>
      </c>
      <c r="F30" s="56">
        <v>3.15</v>
      </c>
      <c r="G30" s="56">
        <v>787.5</v>
      </c>
      <c r="H30" s="56">
        <v>2.5</v>
      </c>
      <c r="I30" s="56">
        <v>625</v>
      </c>
      <c r="J30" s="56">
        <v>2</v>
      </c>
      <c r="K30" s="56">
        <v>500</v>
      </c>
      <c r="L30" s="56">
        <v>3.4</v>
      </c>
      <c r="M30" s="56">
        <v>850</v>
      </c>
      <c r="N30" s="47">
        <v>2.4</v>
      </c>
      <c r="O30" s="47">
        <v>600</v>
      </c>
    </row>
    <row r="31" spans="1:15" x14ac:dyDescent="0.35">
      <c r="A31" s="46">
        <v>18</v>
      </c>
      <c r="B31" s="23" t="s">
        <v>1075</v>
      </c>
      <c r="C31" s="93" t="s">
        <v>1246</v>
      </c>
      <c r="D31" s="16" t="s">
        <v>478</v>
      </c>
      <c r="E31" s="46">
        <v>2</v>
      </c>
      <c r="F31" s="56">
        <v>27000</v>
      </c>
      <c r="G31" s="56">
        <v>54000</v>
      </c>
      <c r="H31" s="56">
        <v>13500</v>
      </c>
      <c r="I31" s="56">
        <v>27000</v>
      </c>
      <c r="J31" s="56">
        <v>22000</v>
      </c>
      <c r="K31" s="56">
        <v>44000</v>
      </c>
      <c r="L31" s="56">
        <v>13300</v>
      </c>
      <c r="M31" s="56">
        <v>26600</v>
      </c>
      <c r="N31" s="47">
        <v>17500</v>
      </c>
      <c r="O31" s="47">
        <v>35000</v>
      </c>
    </row>
    <row r="32" spans="1:15" x14ac:dyDescent="0.35">
      <c r="A32" s="46">
        <v>19</v>
      </c>
      <c r="B32" s="23" t="s">
        <v>1247</v>
      </c>
      <c r="C32" s="45" t="s">
        <v>1248</v>
      </c>
      <c r="D32" s="16" t="s">
        <v>478</v>
      </c>
      <c r="E32" s="46">
        <v>1</v>
      </c>
      <c r="F32" s="56">
        <v>29000</v>
      </c>
      <c r="G32" s="56">
        <v>29000</v>
      </c>
      <c r="H32" s="56">
        <v>15000</v>
      </c>
      <c r="I32" s="56">
        <v>15000</v>
      </c>
      <c r="J32" s="56">
        <v>24000</v>
      </c>
      <c r="K32" s="56">
        <v>24000</v>
      </c>
      <c r="L32" s="56">
        <v>16950</v>
      </c>
      <c r="M32" s="56">
        <v>16950</v>
      </c>
      <c r="N32" s="47">
        <v>22750</v>
      </c>
      <c r="O32" s="47">
        <v>22750</v>
      </c>
    </row>
    <row r="33" spans="1:15" ht="15" customHeight="1" x14ac:dyDescent="0.35">
      <c r="A33" s="46">
        <v>20</v>
      </c>
      <c r="B33" s="23" t="s">
        <v>1249</v>
      </c>
      <c r="C33" s="93" t="s">
        <v>1250</v>
      </c>
      <c r="D33" s="16" t="s">
        <v>478</v>
      </c>
      <c r="E33" s="46">
        <v>1</v>
      </c>
      <c r="F33" s="56">
        <v>27000</v>
      </c>
      <c r="G33" s="56">
        <v>27000</v>
      </c>
      <c r="H33" s="56">
        <v>13500</v>
      </c>
      <c r="I33" s="56">
        <v>13500</v>
      </c>
      <c r="J33" s="56">
        <v>22000</v>
      </c>
      <c r="K33" s="56">
        <v>22000</v>
      </c>
      <c r="L33" s="56">
        <v>13000</v>
      </c>
      <c r="M33" s="56">
        <v>13000</v>
      </c>
      <c r="N33" s="47">
        <v>17500</v>
      </c>
      <c r="O33" s="47">
        <v>17500</v>
      </c>
    </row>
    <row r="34" spans="1:15" x14ac:dyDescent="0.35">
      <c r="A34" s="46">
        <v>21</v>
      </c>
      <c r="B34" s="23" t="s">
        <v>1251</v>
      </c>
      <c r="C34" s="45" t="s">
        <v>1252</v>
      </c>
      <c r="D34" s="16" t="s">
        <v>478</v>
      </c>
      <c r="E34" s="46">
        <v>1</v>
      </c>
      <c r="F34" s="57">
        <v>5000</v>
      </c>
      <c r="G34" s="56">
        <v>5000</v>
      </c>
      <c r="H34" s="56">
        <v>2500</v>
      </c>
      <c r="I34" s="56">
        <v>2500</v>
      </c>
      <c r="J34" s="56">
        <v>10000</v>
      </c>
      <c r="K34" s="56">
        <v>10000</v>
      </c>
      <c r="L34" s="56">
        <v>2310</v>
      </c>
      <c r="M34" s="56">
        <v>2310</v>
      </c>
      <c r="N34" s="47">
        <v>1260</v>
      </c>
      <c r="O34" s="47">
        <v>1260</v>
      </c>
    </row>
    <row r="35" spans="1:15" ht="15" customHeight="1" x14ac:dyDescent="0.35">
      <c r="A35" s="46">
        <v>22</v>
      </c>
      <c r="B35" s="23" t="s">
        <v>1253</v>
      </c>
      <c r="C35" s="93" t="s">
        <v>1254</v>
      </c>
      <c r="D35" s="16" t="s">
        <v>28</v>
      </c>
      <c r="E35" s="46">
        <v>1</v>
      </c>
      <c r="F35" s="57">
        <v>15000</v>
      </c>
      <c r="G35" s="56">
        <v>15000</v>
      </c>
      <c r="H35" s="56">
        <v>5000</v>
      </c>
      <c r="I35" s="56">
        <v>5000</v>
      </c>
      <c r="J35" s="56">
        <v>7500</v>
      </c>
      <c r="K35" s="56">
        <v>7500</v>
      </c>
      <c r="L35" s="56">
        <v>8880</v>
      </c>
      <c r="M35" s="56">
        <v>8880</v>
      </c>
      <c r="N35" s="47">
        <v>6200</v>
      </c>
      <c r="O35" s="47">
        <v>6200</v>
      </c>
    </row>
    <row r="36" spans="1:15" x14ac:dyDescent="0.35">
      <c r="A36" s="46">
        <v>23</v>
      </c>
      <c r="B36" s="23" t="s">
        <v>836</v>
      </c>
      <c r="C36" s="45" t="s">
        <v>1255</v>
      </c>
      <c r="D36" s="16" t="s">
        <v>407</v>
      </c>
      <c r="E36" s="48">
        <v>10000</v>
      </c>
      <c r="F36" s="57">
        <v>15</v>
      </c>
      <c r="G36" s="56">
        <v>150000</v>
      </c>
      <c r="H36" s="56">
        <v>10</v>
      </c>
      <c r="I36" s="56">
        <v>100000</v>
      </c>
      <c r="J36" s="56">
        <v>10</v>
      </c>
      <c r="K36" s="56">
        <v>100000</v>
      </c>
      <c r="L36" s="56">
        <v>14</v>
      </c>
      <c r="M36" s="56">
        <v>140000</v>
      </c>
      <c r="N36" s="47">
        <v>18</v>
      </c>
      <c r="O36" s="47">
        <v>180000</v>
      </c>
    </row>
    <row r="37" spans="1:15" ht="15" customHeight="1" x14ac:dyDescent="0.35">
      <c r="A37" s="46">
        <v>24</v>
      </c>
      <c r="B37" s="23" t="s">
        <v>838</v>
      </c>
      <c r="C37" s="45" t="s">
        <v>1256</v>
      </c>
      <c r="D37" s="16" t="s">
        <v>407</v>
      </c>
      <c r="E37" s="48">
        <v>2200</v>
      </c>
      <c r="F37" s="57">
        <v>15</v>
      </c>
      <c r="G37" s="56">
        <v>33000</v>
      </c>
      <c r="H37" s="56">
        <v>10</v>
      </c>
      <c r="I37" s="56">
        <v>22000</v>
      </c>
      <c r="J37" s="56">
        <v>13</v>
      </c>
      <c r="K37" s="56">
        <v>28600</v>
      </c>
      <c r="L37" s="56">
        <v>15</v>
      </c>
      <c r="M37" s="56">
        <v>33000</v>
      </c>
      <c r="N37" s="47">
        <v>16</v>
      </c>
      <c r="O37" s="47">
        <v>35200</v>
      </c>
    </row>
    <row r="38" spans="1:15" ht="15" customHeight="1" x14ac:dyDescent="0.35">
      <c r="A38" s="46">
        <v>25</v>
      </c>
      <c r="B38" s="23" t="s">
        <v>840</v>
      </c>
      <c r="C38" s="45" t="s">
        <v>1257</v>
      </c>
      <c r="D38" s="16" t="s">
        <v>407</v>
      </c>
      <c r="E38" s="48">
        <v>70</v>
      </c>
      <c r="F38" s="57">
        <v>40</v>
      </c>
      <c r="G38" s="56">
        <v>2800</v>
      </c>
      <c r="H38" s="56">
        <v>60</v>
      </c>
      <c r="I38" s="56">
        <v>4200</v>
      </c>
      <c r="J38" s="56">
        <v>12</v>
      </c>
      <c r="K38" s="56">
        <v>840</v>
      </c>
      <c r="L38" s="56">
        <v>80</v>
      </c>
      <c r="M38" s="56">
        <v>5600</v>
      </c>
      <c r="N38" s="47">
        <v>150</v>
      </c>
      <c r="O38" s="47">
        <v>10500</v>
      </c>
    </row>
    <row r="39" spans="1:15" ht="15" customHeight="1" x14ac:dyDescent="0.35">
      <c r="A39" s="46">
        <v>26</v>
      </c>
      <c r="B39" s="23" t="s">
        <v>31</v>
      </c>
      <c r="C39" s="45" t="s">
        <v>1258</v>
      </c>
      <c r="D39" s="16" t="s">
        <v>478</v>
      </c>
      <c r="E39" s="48">
        <v>120</v>
      </c>
      <c r="F39" s="57">
        <v>3000</v>
      </c>
      <c r="G39" s="56">
        <v>360000</v>
      </c>
      <c r="H39" s="56">
        <v>1400</v>
      </c>
      <c r="I39" s="56">
        <v>168000</v>
      </c>
      <c r="J39" s="56">
        <v>1800</v>
      </c>
      <c r="K39" s="56">
        <v>216000</v>
      </c>
      <c r="L39" s="56">
        <v>2390</v>
      </c>
      <c r="M39" s="56">
        <v>286800</v>
      </c>
      <c r="N39" s="47">
        <v>2350</v>
      </c>
      <c r="O39" s="47">
        <v>282000</v>
      </c>
    </row>
    <row r="40" spans="1:15" ht="14.5" customHeight="1" x14ac:dyDescent="0.35">
      <c r="A40" s="46">
        <v>27</v>
      </c>
      <c r="B40" s="23" t="s">
        <v>746</v>
      </c>
      <c r="C40" s="93" t="s">
        <v>1259</v>
      </c>
      <c r="D40" s="16" t="s">
        <v>478</v>
      </c>
      <c r="E40" s="46">
        <v>4</v>
      </c>
      <c r="F40" s="57">
        <v>5600</v>
      </c>
      <c r="G40" s="56">
        <v>22400</v>
      </c>
      <c r="H40" s="56">
        <v>4950</v>
      </c>
      <c r="I40" s="56">
        <v>19800</v>
      </c>
      <c r="J40" s="56">
        <v>4000</v>
      </c>
      <c r="K40" s="56">
        <v>16000</v>
      </c>
      <c r="L40" s="56">
        <v>5290</v>
      </c>
      <c r="M40" s="56">
        <v>21160</v>
      </c>
      <c r="N40" s="47">
        <v>8000</v>
      </c>
      <c r="O40" s="47">
        <v>32000</v>
      </c>
    </row>
    <row r="41" spans="1:15" ht="14.5" customHeight="1" x14ac:dyDescent="0.35">
      <c r="A41" s="46">
        <v>28</v>
      </c>
      <c r="B41" s="23" t="s">
        <v>748</v>
      </c>
      <c r="C41" s="93" t="s">
        <v>1260</v>
      </c>
      <c r="D41" s="16" t="s">
        <v>478</v>
      </c>
      <c r="E41" s="46">
        <v>3</v>
      </c>
      <c r="F41" s="56">
        <v>17500</v>
      </c>
      <c r="G41" s="56">
        <v>52500</v>
      </c>
      <c r="H41" s="56">
        <v>6500</v>
      </c>
      <c r="I41" s="56">
        <v>19500</v>
      </c>
      <c r="J41" s="56">
        <v>7500</v>
      </c>
      <c r="K41" s="56">
        <v>22500</v>
      </c>
      <c r="L41" s="56">
        <v>10150</v>
      </c>
      <c r="M41" s="56">
        <v>30450</v>
      </c>
      <c r="N41" s="47">
        <v>8500</v>
      </c>
      <c r="O41" s="47">
        <v>25500</v>
      </c>
    </row>
    <row r="42" spans="1:15" ht="15.5" x14ac:dyDescent="0.35">
      <c r="A42" s="21"/>
      <c r="B42" s="29"/>
      <c r="C42" s="21"/>
      <c r="D42" s="178" t="s">
        <v>1261</v>
      </c>
      <c r="E42" s="179"/>
      <c r="F42" s="17"/>
      <c r="G42" s="17">
        <f>SUM(Table001__Page_2_31613[EXTENDED TOTAL])</f>
        <v>1172715</v>
      </c>
      <c r="H42" s="17"/>
      <c r="I42" s="17">
        <f>SUM(Table001__Page_2_31613[EXTENDED TOTAL2])</f>
        <v>716418.75</v>
      </c>
      <c r="J42" s="17"/>
      <c r="K42" s="17">
        <f>SUM(Table001__Page_2_31613[EXTENDED TOTAL3])</f>
        <v>883762.5</v>
      </c>
      <c r="L42" s="17"/>
      <c r="M42" s="18">
        <f>SUM(Table001__Page_2_31613[EXTENDED TOTAL4])</f>
        <v>1031297</v>
      </c>
      <c r="N42" s="17"/>
      <c r="O42" s="18">
        <f>SUM(Table001__Page_2_31613[EXTENDED TOTAL5])</f>
        <v>1121652.75</v>
      </c>
    </row>
    <row r="43" spans="1:15" x14ac:dyDescent="0.35">
      <c r="A43" s="14"/>
      <c r="B43" s="29"/>
      <c r="C43" s="14"/>
      <c r="D43" s="14"/>
      <c r="E43" s="16"/>
      <c r="F43" s="14"/>
      <c r="G43" s="14"/>
      <c r="H43" s="14"/>
      <c r="I43" s="14"/>
      <c r="J43" s="14"/>
      <c r="K43" s="14"/>
      <c r="L43" s="14"/>
      <c r="M43" s="14"/>
    </row>
    <row r="44" spans="1:15" ht="15.5" x14ac:dyDescent="0.35">
      <c r="A44" s="173" t="s">
        <v>1262</v>
      </c>
      <c r="B44" s="174"/>
      <c r="C44" s="174"/>
      <c r="D44" s="174"/>
      <c r="E44" s="175"/>
      <c r="F44" s="173" t="s">
        <v>12</v>
      </c>
      <c r="G44" s="175"/>
      <c r="H44" s="173" t="s">
        <v>1232</v>
      </c>
      <c r="I44" s="175"/>
      <c r="J44" s="173" t="s">
        <v>1233</v>
      </c>
      <c r="K44" s="175"/>
      <c r="L44" s="173" t="s">
        <v>1234</v>
      </c>
      <c r="M44" s="175"/>
      <c r="N44" s="173" t="s">
        <v>1134</v>
      </c>
      <c r="O44" s="175"/>
    </row>
    <row r="45" spans="1:15" x14ac:dyDescent="0.35">
      <c r="A45" s="16" t="s">
        <v>15</v>
      </c>
      <c r="B45" s="23" t="s">
        <v>396</v>
      </c>
      <c r="C45" s="16" t="s">
        <v>17</v>
      </c>
      <c r="D45" s="16" t="s">
        <v>18</v>
      </c>
      <c r="E45" s="16" t="s">
        <v>19</v>
      </c>
      <c r="F45" s="16" t="s">
        <v>20</v>
      </c>
      <c r="G45" s="16" t="s">
        <v>21</v>
      </c>
      <c r="H45" s="16" t="s">
        <v>22</v>
      </c>
      <c r="I45" s="16" t="s">
        <v>23</v>
      </c>
      <c r="J45" s="16" t="s">
        <v>24</v>
      </c>
      <c r="K45" s="16" t="s">
        <v>25</v>
      </c>
      <c r="L45" s="16" t="s">
        <v>581</v>
      </c>
      <c r="M45" s="16" t="s">
        <v>582</v>
      </c>
      <c r="N45" s="16" t="s">
        <v>579</v>
      </c>
      <c r="O45" s="16" t="s">
        <v>580</v>
      </c>
    </row>
    <row r="46" spans="1:15" ht="29" x14ac:dyDescent="0.35">
      <c r="A46" s="46">
        <v>29</v>
      </c>
      <c r="B46" s="23" t="s">
        <v>750</v>
      </c>
      <c r="C46" s="93" t="s">
        <v>1263</v>
      </c>
      <c r="D46" s="16" t="s">
        <v>478</v>
      </c>
      <c r="E46" s="46">
        <v>2</v>
      </c>
      <c r="F46" s="56">
        <v>80000</v>
      </c>
      <c r="G46" s="56">
        <v>160000</v>
      </c>
      <c r="H46" s="59">
        <v>33500</v>
      </c>
      <c r="I46" s="59">
        <v>67000</v>
      </c>
      <c r="J46" s="59">
        <v>32000</v>
      </c>
      <c r="K46" s="59">
        <v>64000</v>
      </c>
      <c r="L46" s="59">
        <v>30650</v>
      </c>
      <c r="M46" s="59">
        <v>61300</v>
      </c>
      <c r="N46" s="22">
        <v>35000</v>
      </c>
      <c r="O46" s="22">
        <v>70000</v>
      </c>
    </row>
    <row r="47" spans="1:15" ht="29" x14ac:dyDescent="0.35">
      <c r="A47" s="46">
        <v>30</v>
      </c>
      <c r="B47" s="23" t="s">
        <v>752</v>
      </c>
      <c r="C47" s="93" t="s">
        <v>1264</v>
      </c>
      <c r="D47" s="16" t="s">
        <v>478</v>
      </c>
      <c r="E47" s="46">
        <v>13</v>
      </c>
      <c r="F47" s="56">
        <v>850</v>
      </c>
      <c r="G47" s="56">
        <v>11050</v>
      </c>
      <c r="H47" s="59">
        <v>250</v>
      </c>
      <c r="I47" s="59">
        <v>3250</v>
      </c>
      <c r="J47" s="59">
        <v>450</v>
      </c>
      <c r="K47" s="59">
        <v>5850</v>
      </c>
      <c r="L47" s="59">
        <v>369</v>
      </c>
      <c r="M47" s="59">
        <v>4797</v>
      </c>
      <c r="N47" s="22">
        <v>280</v>
      </c>
      <c r="O47" s="22">
        <v>3640</v>
      </c>
    </row>
    <row r="48" spans="1:15" x14ac:dyDescent="0.35">
      <c r="A48" s="46">
        <v>31</v>
      </c>
      <c r="B48" s="23" t="s">
        <v>851</v>
      </c>
      <c r="C48" s="45" t="s">
        <v>1265</v>
      </c>
      <c r="D48" s="16" t="s">
        <v>478</v>
      </c>
      <c r="E48" s="46">
        <v>1</v>
      </c>
      <c r="F48" s="56">
        <v>1400</v>
      </c>
      <c r="G48" s="56">
        <v>1400</v>
      </c>
      <c r="H48" s="59">
        <v>1250</v>
      </c>
      <c r="I48" s="59">
        <v>1250</v>
      </c>
      <c r="J48" s="59">
        <v>1600</v>
      </c>
      <c r="K48" s="59">
        <v>1600</v>
      </c>
      <c r="L48" s="59">
        <v>1660</v>
      </c>
      <c r="M48" s="59">
        <v>1660</v>
      </c>
      <c r="N48" s="22">
        <v>2750</v>
      </c>
      <c r="O48" s="22">
        <v>2750</v>
      </c>
    </row>
    <row r="49" spans="1:15" ht="15.5" x14ac:dyDescent="0.35">
      <c r="A49" s="21"/>
      <c r="B49" s="29"/>
      <c r="C49" s="21"/>
      <c r="D49" s="198" t="s">
        <v>1266</v>
      </c>
      <c r="E49" s="199"/>
      <c r="F49" s="137"/>
      <c r="G49" s="137">
        <f>SUM(Table001__Page_2_3162221[EXTENDED TOTAL])</f>
        <v>172450</v>
      </c>
      <c r="H49" s="137"/>
      <c r="I49" s="137">
        <f>SUM(Table001__Page_2_3162221[EXTENDED TOTAL2])</f>
        <v>71500</v>
      </c>
      <c r="J49" s="137"/>
      <c r="K49" s="137">
        <f>SUM(Table001__Page_2_3162221[EXTENDED TOTAL3])</f>
        <v>71450</v>
      </c>
      <c r="L49" s="137"/>
      <c r="M49" s="138">
        <f>SUM(Table001__Page_2_3162221[EXTENDED TOTAL4])</f>
        <v>67757</v>
      </c>
      <c r="N49" s="137"/>
      <c r="O49" s="138">
        <f>SUM(Table001__Page_2_3162221[EXTENDED TOTAL5])</f>
        <v>76390</v>
      </c>
    </row>
    <row r="50" spans="1:15" x14ac:dyDescent="0.35">
      <c r="D50" s="122" t="s">
        <v>1267</v>
      </c>
      <c r="E50" s="123"/>
      <c r="F50" s="124"/>
      <c r="G50" s="125">
        <f>G42+G49</f>
        <v>1345165</v>
      </c>
      <c r="H50" s="125"/>
      <c r="I50" s="125">
        <f>I42+I49</f>
        <v>787918.75</v>
      </c>
      <c r="J50" s="125"/>
      <c r="K50" s="125">
        <f>K42+K49</f>
        <v>955212.5</v>
      </c>
      <c r="L50" s="125"/>
      <c r="M50" s="125">
        <f>M42+M49</f>
        <v>1099054</v>
      </c>
      <c r="N50" s="125"/>
      <c r="O50" s="126">
        <f>O42+O49</f>
        <v>1198042.75</v>
      </c>
    </row>
    <row r="51" spans="1:15" x14ac:dyDescent="0.35">
      <c r="D51" s="127" t="s">
        <v>902</v>
      </c>
      <c r="E51" s="128"/>
      <c r="F51" s="129"/>
      <c r="G51" s="129" t="s">
        <v>727</v>
      </c>
      <c r="H51" s="129"/>
      <c r="I51" s="130">
        <f>I50-G50</f>
        <v>-557246.25</v>
      </c>
      <c r="J51" s="129"/>
      <c r="K51" s="130">
        <f>K50-G50</f>
        <v>-389952.5</v>
      </c>
      <c r="L51" s="129"/>
      <c r="M51" s="130">
        <f>M50-G50</f>
        <v>-246111</v>
      </c>
      <c r="N51" s="129"/>
      <c r="O51" s="131">
        <f>O50-G50</f>
        <v>-147122.25</v>
      </c>
    </row>
    <row r="52" spans="1:15" x14ac:dyDescent="0.35">
      <c r="D52" s="132" t="s">
        <v>903</v>
      </c>
      <c r="E52" s="133"/>
      <c r="F52" s="134"/>
      <c r="G52" s="134" t="s">
        <v>727</v>
      </c>
      <c r="H52" s="134"/>
      <c r="I52" s="135">
        <f>I51/$G$50</f>
        <v>-0.41425865971832454</v>
      </c>
      <c r="J52" s="135"/>
      <c r="K52" s="135">
        <f>K51/$G$50</f>
        <v>-0.28989194634115517</v>
      </c>
      <c r="L52" s="135"/>
      <c r="M52" s="135">
        <f>M51/$G$50</f>
        <v>-0.18295971126218716</v>
      </c>
      <c r="N52" s="135"/>
      <c r="O52" s="136">
        <f>O51/$G$50</f>
        <v>-0.10937115521144246</v>
      </c>
    </row>
    <row r="62" spans="1:15" ht="14.5" customHeight="1" x14ac:dyDescent="0.35"/>
    <row r="63" spans="1:15" ht="14.5" customHeight="1" x14ac:dyDescent="0.35"/>
  </sheetData>
  <mergeCells count="14">
    <mergeCell ref="N12:O12"/>
    <mergeCell ref="N44:O44"/>
    <mergeCell ref="A44:E44"/>
    <mergeCell ref="F44:G44"/>
    <mergeCell ref="H44:I44"/>
    <mergeCell ref="J44:K44"/>
    <mergeCell ref="L44:M44"/>
    <mergeCell ref="L12:M12"/>
    <mergeCell ref="D49:E49"/>
    <mergeCell ref="A12:E12"/>
    <mergeCell ref="F12:G12"/>
    <mergeCell ref="H12:I12"/>
    <mergeCell ref="J12:K12"/>
    <mergeCell ref="D42:E42"/>
  </mergeCells>
  <phoneticPr fontId="10" type="noConversion"/>
  <pageMargins left="0.7" right="0.7" top="0.75" bottom="0.75" header="0.3" footer="0.3"/>
  <pageSetup orientation="portrait" verticalDpi="0"/>
  <drawing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3BE44-26E3-4578-9D79-4151D601B3AC}">
  <sheetPr codeName="Sheet8"/>
  <dimension ref="A1:N113"/>
  <sheetViews>
    <sheetView zoomScale="70" zoomScaleNormal="70" workbookViewId="0"/>
  </sheetViews>
  <sheetFormatPr defaultRowHeight="14.5" x14ac:dyDescent="0.35"/>
  <cols>
    <col min="1" max="1" width="18.54296875" bestFit="1" customWidth="1"/>
    <col min="2" max="2" width="20.26953125" style="32" bestFit="1" customWidth="1"/>
    <col min="3" max="3" width="121.54296875" bestFit="1" customWidth="1"/>
    <col min="4" max="4" width="13.54296875" bestFit="1" customWidth="1"/>
    <col min="5" max="5" width="34.453125" style="6" bestFit="1" customWidth="1"/>
    <col min="6" max="6" width="20.7265625" bestFit="1" customWidth="1"/>
    <col min="7" max="7" width="29.26953125" bestFit="1" customWidth="1"/>
    <col min="8" max="8" width="21.453125" bestFit="1" customWidth="1"/>
    <col min="9" max="9" width="30" bestFit="1" customWidth="1"/>
    <col min="10" max="10" width="22.54296875" bestFit="1" customWidth="1"/>
    <col min="11" max="11" width="30.54296875" bestFit="1" customWidth="1"/>
  </cols>
  <sheetData>
    <row r="1" spans="1:11" x14ac:dyDescent="0.35">
      <c r="A1" s="14"/>
      <c r="B1" s="29"/>
      <c r="C1" s="14"/>
      <c r="D1" s="14"/>
      <c r="E1" s="16"/>
      <c r="F1" s="14"/>
      <c r="G1" s="14"/>
      <c r="H1" s="14"/>
      <c r="I1" s="14"/>
      <c r="J1" s="14"/>
      <c r="K1" s="14"/>
    </row>
    <row r="2" spans="1:11" x14ac:dyDescent="0.35">
      <c r="A2" s="14"/>
      <c r="B2" s="29"/>
      <c r="C2" s="14"/>
      <c r="D2" s="14"/>
      <c r="E2" s="16"/>
      <c r="F2" s="14"/>
      <c r="G2" s="14"/>
      <c r="H2" s="14"/>
      <c r="I2" s="14"/>
      <c r="J2" s="14"/>
      <c r="K2" s="14"/>
    </row>
    <row r="3" spans="1:11" ht="15.5" x14ac:dyDescent="0.35">
      <c r="A3" s="15" t="s">
        <v>0</v>
      </c>
      <c r="B3" s="29" t="s">
        <v>230</v>
      </c>
      <c r="C3" s="14"/>
      <c r="D3" s="15"/>
      <c r="E3" s="16"/>
      <c r="F3" s="14"/>
      <c r="G3" s="14"/>
      <c r="H3" s="14"/>
      <c r="I3" s="14"/>
      <c r="J3" s="14"/>
      <c r="K3" s="14"/>
    </row>
    <row r="4" spans="1:11" ht="15.5" x14ac:dyDescent="0.35">
      <c r="A4" s="15" t="s">
        <v>2</v>
      </c>
      <c r="B4" s="29" t="str">
        <f>VLOOKUP($B$3,DATA!$A$2:$E$80,3)</f>
        <v>Springfield</v>
      </c>
      <c r="C4" s="14"/>
      <c r="D4" s="15"/>
      <c r="E4" s="16"/>
      <c r="F4" s="14"/>
      <c r="G4" s="14"/>
      <c r="H4" s="14"/>
      <c r="I4" s="14"/>
      <c r="J4" s="14"/>
      <c r="K4" s="14"/>
    </row>
    <row r="5" spans="1:11" ht="15.5" x14ac:dyDescent="0.35">
      <c r="A5" s="15" t="s">
        <v>3</v>
      </c>
      <c r="B5" s="29" t="str">
        <f>VLOOKUP($B$3,DATA!$A$2:$E$80,4)</f>
        <v>Springfield-Robertson County</v>
      </c>
      <c r="C5" s="14"/>
      <c r="D5" s="15"/>
      <c r="E5" s="16"/>
      <c r="F5" s="14"/>
      <c r="G5" s="14"/>
      <c r="H5" s="14"/>
      <c r="I5" s="14"/>
      <c r="J5" s="14"/>
      <c r="K5" s="14"/>
    </row>
    <row r="6" spans="1:11" ht="15.5" x14ac:dyDescent="0.35">
      <c r="A6" s="15" t="s">
        <v>4</v>
      </c>
      <c r="B6" s="29" t="s">
        <v>358</v>
      </c>
      <c r="C6" s="14"/>
      <c r="D6" s="15"/>
      <c r="E6" s="16"/>
      <c r="F6" s="14"/>
      <c r="G6" s="14"/>
      <c r="H6" s="14"/>
      <c r="I6" s="14"/>
      <c r="J6" s="14"/>
      <c r="K6" s="14"/>
    </row>
    <row r="7" spans="1:11" ht="15.5" x14ac:dyDescent="0.35">
      <c r="A7" s="15" t="s">
        <v>6</v>
      </c>
      <c r="B7" s="159" t="s">
        <v>359</v>
      </c>
      <c r="C7" s="14"/>
      <c r="D7" s="15"/>
      <c r="E7" s="16"/>
      <c r="F7" s="14"/>
      <c r="G7" s="14"/>
      <c r="H7" s="14"/>
      <c r="I7" s="14"/>
      <c r="J7" s="14"/>
      <c r="K7" s="14"/>
    </row>
    <row r="8" spans="1:11" ht="15.5" x14ac:dyDescent="0.35">
      <c r="A8" s="15" t="s">
        <v>8</v>
      </c>
      <c r="B8" s="152">
        <v>45163</v>
      </c>
      <c r="C8" s="14"/>
      <c r="D8" s="15"/>
      <c r="E8" s="33"/>
      <c r="F8" s="14"/>
      <c r="G8" s="14"/>
      <c r="H8" s="14"/>
      <c r="I8" s="14"/>
      <c r="J8" s="14"/>
      <c r="K8" s="14"/>
    </row>
    <row r="9" spans="1:11" ht="15.5" x14ac:dyDescent="0.35">
      <c r="A9" s="15" t="s">
        <v>9</v>
      </c>
      <c r="B9" s="29" t="str">
        <f>VLOOKUP($B$3,DATA!$A$2:$E$80,2)</f>
        <v>Robertson</v>
      </c>
      <c r="C9" s="14"/>
      <c r="D9" s="15"/>
      <c r="E9" s="16"/>
      <c r="F9" s="14"/>
      <c r="G9" s="14"/>
      <c r="H9" s="14"/>
      <c r="I9" s="14"/>
      <c r="J9" s="14"/>
      <c r="K9" s="14"/>
    </row>
    <row r="10" spans="1:11" ht="15.5" x14ac:dyDescent="0.35">
      <c r="A10" s="15" t="s">
        <v>10</v>
      </c>
      <c r="B10" s="14" t="str">
        <f>VLOOKUP($B$3,DATA!$A$2:$E$80,5)</f>
        <v>Middle</v>
      </c>
      <c r="C10" s="14"/>
      <c r="D10" s="15"/>
      <c r="E10" s="16"/>
      <c r="F10" s="14"/>
      <c r="G10" s="14"/>
      <c r="H10" s="14"/>
      <c r="I10" s="14"/>
      <c r="J10" s="14"/>
      <c r="K10" s="14"/>
    </row>
    <row r="11" spans="1:11" ht="16" thickBot="1" x14ac:dyDescent="0.4">
      <c r="A11" s="15"/>
      <c r="B11" s="29"/>
      <c r="C11" s="14"/>
      <c r="D11" s="15"/>
      <c r="E11" s="16"/>
      <c r="F11" s="14"/>
      <c r="G11" s="14"/>
      <c r="H11" s="14"/>
      <c r="I11" s="14"/>
      <c r="J11" s="14"/>
      <c r="K11" s="14"/>
    </row>
    <row r="12" spans="1:11" ht="16" thickBot="1" x14ac:dyDescent="0.4">
      <c r="A12" s="173" t="s">
        <v>689</v>
      </c>
      <c r="B12" s="174"/>
      <c r="C12" s="174"/>
      <c r="D12" s="174"/>
      <c r="E12" s="175"/>
      <c r="F12" s="173" t="s">
        <v>574</v>
      </c>
      <c r="G12" s="175"/>
      <c r="H12" s="173" t="s">
        <v>690</v>
      </c>
      <c r="I12" s="175"/>
      <c r="J12" s="173" t="s">
        <v>395</v>
      </c>
      <c r="K12" s="175"/>
    </row>
    <row r="13" spans="1:11" x14ac:dyDescent="0.35">
      <c r="A13" s="16" t="s">
        <v>15</v>
      </c>
      <c r="B13" s="23" t="s">
        <v>396</v>
      </c>
      <c r="C13" s="16" t="s">
        <v>17</v>
      </c>
      <c r="D13" s="16" t="s">
        <v>18</v>
      </c>
      <c r="E13" s="16" t="s">
        <v>19</v>
      </c>
      <c r="F13" s="16" t="s">
        <v>20</v>
      </c>
      <c r="G13" s="16" t="s">
        <v>21</v>
      </c>
      <c r="H13" s="16" t="s">
        <v>397</v>
      </c>
      <c r="I13" s="16" t="s">
        <v>398</v>
      </c>
      <c r="J13" s="16" t="s">
        <v>401</v>
      </c>
      <c r="K13" s="16" t="s">
        <v>400</v>
      </c>
    </row>
    <row r="14" spans="1:11" x14ac:dyDescent="0.35">
      <c r="A14" s="46">
        <v>1</v>
      </c>
      <c r="B14" s="23" t="s">
        <v>403</v>
      </c>
      <c r="C14" s="45" t="s">
        <v>526</v>
      </c>
      <c r="D14" s="16" t="s">
        <v>28</v>
      </c>
      <c r="E14" s="46">
        <v>1</v>
      </c>
      <c r="F14" s="56">
        <v>10000</v>
      </c>
      <c r="G14" s="56">
        <v>10000</v>
      </c>
      <c r="H14" s="56">
        <v>20000</v>
      </c>
      <c r="I14" s="59">
        <v>20000</v>
      </c>
      <c r="J14" s="59">
        <v>10000</v>
      </c>
      <c r="K14" s="59">
        <v>10000</v>
      </c>
    </row>
    <row r="15" spans="1:11" x14ac:dyDescent="0.35">
      <c r="A15" s="46">
        <v>2</v>
      </c>
      <c r="B15" s="23" t="s">
        <v>691</v>
      </c>
      <c r="C15" s="45" t="s">
        <v>416</v>
      </c>
      <c r="D15" s="20" t="s">
        <v>28</v>
      </c>
      <c r="E15" s="46">
        <v>1</v>
      </c>
      <c r="F15" s="56">
        <v>25000</v>
      </c>
      <c r="G15" s="56">
        <v>25000</v>
      </c>
      <c r="H15" s="56">
        <v>10000</v>
      </c>
      <c r="I15" s="59">
        <v>10000</v>
      </c>
      <c r="J15" s="59">
        <v>40000</v>
      </c>
      <c r="K15" s="59">
        <v>40000</v>
      </c>
    </row>
    <row r="16" spans="1:11" x14ac:dyDescent="0.35">
      <c r="A16" s="46">
        <v>3</v>
      </c>
      <c r="B16" s="23" t="s">
        <v>692</v>
      </c>
      <c r="C16" s="45" t="s">
        <v>693</v>
      </c>
      <c r="D16" s="20" t="s">
        <v>28</v>
      </c>
      <c r="E16" s="46">
        <v>1</v>
      </c>
      <c r="F16" s="56">
        <v>35000</v>
      </c>
      <c r="G16" s="56">
        <v>35000</v>
      </c>
      <c r="H16" s="56">
        <v>30000</v>
      </c>
      <c r="I16" s="59">
        <v>30000</v>
      </c>
      <c r="J16" s="59">
        <v>50000</v>
      </c>
      <c r="K16" s="59">
        <v>50000</v>
      </c>
    </row>
    <row r="17" spans="1:11" x14ac:dyDescent="0.35">
      <c r="A17" s="46">
        <v>4</v>
      </c>
      <c r="B17" s="23" t="s">
        <v>405</v>
      </c>
      <c r="C17" s="45" t="s">
        <v>694</v>
      </c>
      <c r="D17" s="20" t="s">
        <v>407</v>
      </c>
      <c r="E17" s="46">
        <v>200</v>
      </c>
      <c r="F17" s="57">
        <v>10</v>
      </c>
      <c r="G17" s="56">
        <v>2000</v>
      </c>
      <c r="H17" s="57">
        <v>12</v>
      </c>
      <c r="I17" s="59">
        <v>2400</v>
      </c>
      <c r="J17" s="59">
        <v>10</v>
      </c>
      <c r="K17" s="59">
        <v>2000</v>
      </c>
    </row>
    <row r="18" spans="1:11" x14ac:dyDescent="0.35">
      <c r="A18" s="46">
        <v>5</v>
      </c>
      <c r="B18" s="23" t="s">
        <v>413</v>
      </c>
      <c r="C18" s="45" t="s">
        <v>414</v>
      </c>
      <c r="D18" s="20" t="s">
        <v>28</v>
      </c>
      <c r="E18" s="46">
        <v>1</v>
      </c>
      <c r="F18" s="56">
        <v>75000</v>
      </c>
      <c r="G18" s="56">
        <v>75000</v>
      </c>
      <c r="H18" s="56">
        <v>30000</v>
      </c>
      <c r="I18" s="59">
        <v>30000</v>
      </c>
      <c r="J18" s="59">
        <v>210000</v>
      </c>
      <c r="K18" s="59">
        <v>210000</v>
      </c>
    </row>
    <row r="19" spans="1:11" x14ac:dyDescent="0.35">
      <c r="A19" s="46">
        <v>6</v>
      </c>
      <c r="B19" s="23" t="s">
        <v>415</v>
      </c>
      <c r="C19" s="45" t="s">
        <v>420</v>
      </c>
      <c r="D19" s="20" t="s">
        <v>28</v>
      </c>
      <c r="E19" s="46">
        <v>1</v>
      </c>
      <c r="F19" s="56">
        <v>5000</v>
      </c>
      <c r="G19" s="56">
        <v>5000</v>
      </c>
      <c r="H19" s="56">
        <v>5000</v>
      </c>
      <c r="I19" s="59">
        <v>5000</v>
      </c>
      <c r="J19" s="59">
        <v>50000</v>
      </c>
      <c r="K19" s="59">
        <v>50000</v>
      </c>
    </row>
    <row r="20" spans="1:11" x14ac:dyDescent="0.35">
      <c r="A20" s="46">
        <v>7</v>
      </c>
      <c r="B20" s="23" t="s">
        <v>417</v>
      </c>
      <c r="C20" s="45" t="s">
        <v>418</v>
      </c>
      <c r="D20" s="20" t="s">
        <v>28</v>
      </c>
      <c r="E20" s="46">
        <v>1</v>
      </c>
      <c r="F20" s="56">
        <v>2500</v>
      </c>
      <c r="G20" s="56">
        <v>2500</v>
      </c>
      <c r="H20" s="56">
        <v>4800</v>
      </c>
      <c r="I20" s="59">
        <v>4800</v>
      </c>
      <c r="J20" s="59">
        <v>2000</v>
      </c>
      <c r="K20" s="59">
        <v>2000</v>
      </c>
    </row>
    <row r="21" spans="1:11" x14ac:dyDescent="0.35">
      <c r="A21" s="46">
        <v>8</v>
      </c>
      <c r="B21" s="23" t="s">
        <v>695</v>
      </c>
      <c r="C21" s="45" t="s">
        <v>696</v>
      </c>
      <c r="D21" s="20" t="s">
        <v>412</v>
      </c>
      <c r="E21" s="46">
        <v>40</v>
      </c>
      <c r="F21" s="57">
        <v>200</v>
      </c>
      <c r="G21" s="56">
        <v>8000</v>
      </c>
      <c r="H21" s="57">
        <v>220</v>
      </c>
      <c r="I21" s="59">
        <v>8800</v>
      </c>
      <c r="J21" s="59">
        <v>250</v>
      </c>
      <c r="K21" s="59">
        <v>10000</v>
      </c>
    </row>
    <row r="22" spans="1:11" x14ac:dyDescent="0.35">
      <c r="A22" s="46">
        <v>9</v>
      </c>
      <c r="B22" s="23" t="s">
        <v>697</v>
      </c>
      <c r="C22" s="45" t="s">
        <v>698</v>
      </c>
      <c r="D22" s="20" t="s">
        <v>28</v>
      </c>
      <c r="E22" s="46">
        <v>1</v>
      </c>
      <c r="F22" s="56">
        <v>25000</v>
      </c>
      <c r="G22" s="56">
        <v>25000</v>
      </c>
      <c r="H22" s="56">
        <v>13000</v>
      </c>
      <c r="I22" s="59">
        <v>13000</v>
      </c>
      <c r="J22" s="59">
        <v>40000</v>
      </c>
      <c r="K22" s="59">
        <v>40000</v>
      </c>
    </row>
    <row r="23" spans="1:11" x14ac:dyDescent="0.35">
      <c r="A23" s="46">
        <v>10</v>
      </c>
      <c r="B23" s="23" t="s">
        <v>426</v>
      </c>
      <c r="C23" s="45" t="s">
        <v>427</v>
      </c>
      <c r="D23" s="20" t="s">
        <v>428</v>
      </c>
      <c r="E23" s="46">
        <v>500</v>
      </c>
      <c r="F23" s="57">
        <v>30</v>
      </c>
      <c r="G23" s="56">
        <v>15000</v>
      </c>
      <c r="H23" s="57">
        <v>35</v>
      </c>
      <c r="I23" s="59">
        <v>17500</v>
      </c>
      <c r="J23" s="59">
        <v>60</v>
      </c>
      <c r="K23" s="59">
        <v>30000</v>
      </c>
    </row>
    <row r="24" spans="1:11" x14ac:dyDescent="0.35">
      <c r="A24" s="46">
        <v>11</v>
      </c>
      <c r="B24" s="23" t="s">
        <v>429</v>
      </c>
      <c r="C24" s="45" t="s">
        <v>432</v>
      </c>
      <c r="D24" s="20" t="s">
        <v>428</v>
      </c>
      <c r="E24" s="46">
        <v>25</v>
      </c>
      <c r="F24" s="57">
        <v>75</v>
      </c>
      <c r="G24" s="56">
        <v>1875</v>
      </c>
      <c r="H24" s="57">
        <v>125</v>
      </c>
      <c r="I24" s="59">
        <v>3125</v>
      </c>
      <c r="J24" s="59">
        <v>70</v>
      </c>
      <c r="K24" s="59">
        <v>1750</v>
      </c>
    </row>
    <row r="25" spans="1:11" x14ac:dyDescent="0.35">
      <c r="A25" s="46">
        <v>12</v>
      </c>
      <c r="B25" s="23" t="s">
        <v>431</v>
      </c>
      <c r="C25" s="45" t="s">
        <v>699</v>
      </c>
      <c r="D25" s="20" t="s">
        <v>435</v>
      </c>
      <c r="E25" s="46">
        <v>45</v>
      </c>
      <c r="F25" s="57">
        <v>75</v>
      </c>
      <c r="G25" s="56">
        <v>3375</v>
      </c>
      <c r="H25" s="57">
        <v>140</v>
      </c>
      <c r="I25" s="59">
        <v>6300</v>
      </c>
      <c r="J25" s="59">
        <v>80</v>
      </c>
      <c r="K25" s="59">
        <v>3600</v>
      </c>
    </row>
    <row r="26" spans="1:11" x14ac:dyDescent="0.35">
      <c r="A26" s="46">
        <v>13</v>
      </c>
      <c r="B26" s="23" t="s">
        <v>436</v>
      </c>
      <c r="C26" s="45" t="s">
        <v>700</v>
      </c>
      <c r="D26" s="20" t="s">
        <v>435</v>
      </c>
      <c r="E26" s="46">
        <v>1396</v>
      </c>
      <c r="F26" s="57">
        <v>35</v>
      </c>
      <c r="G26" s="56">
        <v>48860</v>
      </c>
      <c r="H26" s="57">
        <v>55</v>
      </c>
      <c r="I26" s="59">
        <v>76780</v>
      </c>
      <c r="J26" s="59">
        <v>65</v>
      </c>
      <c r="K26" s="59">
        <v>90740</v>
      </c>
    </row>
    <row r="27" spans="1:11" x14ac:dyDescent="0.35">
      <c r="A27" s="46">
        <v>14</v>
      </c>
      <c r="B27" s="23" t="s">
        <v>701</v>
      </c>
      <c r="C27" s="45" t="s">
        <v>702</v>
      </c>
      <c r="D27" s="20" t="s">
        <v>435</v>
      </c>
      <c r="E27" s="46">
        <v>155</v>
      </c>
      <c r="F27" s="57">
        <v>175</v>
      </c>
      <c r="G27" s="56">
        <v>27125</v>
      </c>
      <c r="H27" s="57">
        <v>196</v>
      </c>
      <c r="I27" s="59">
        <v>30380</v>
      </c>
      <c r="J27" s="59">
        <v>230</v>
      </c>
      <c r="K27" s="59">
        <v>35650</v>
      </c>
    </row>
    <row r="28" spans="1:11" x14ac:dyDescent="0.35">
      <c r="A28" s="46">
        <v>15</v>
      </c>
      <c r="B28" s="23" t="s">
        <v>703</v>
      </c>
      <c r="C28" s="45" t="s">
        <v>704</v>
      </c>
      <c r="D28" s="20" t="s">
        <v>435</v>
      </c>
      <c r="E28" s="46">
        <v>250</v>
      </c>
      <c r="F28" s="57">
        <v>150</v>
      </c>
      <c r="G28" s="56">
        <v>37500</v>
      </c>
      <c r="H28" s="57">
        <v>159</v>
      </c>
      <c r="I28" s="59">
        <v>39750</v>
      </c>
      <c r="J28" s="59">
        <v>170</v>
      </c>
      <c r="K28" s="59">
        <v>42500</v>
      </c>
    </row>
    <row r="29" spans="1:11" x14ac:dyDescent="0.35">
      <c r="A29" s="46">
        <v>16</v>
      </c>
      <c r="B29" s="23" t="s">
        <v>442</v>
      </c>
      <c r="C29" s="45" t="s">
        <v>705</v>
      </c>
      <c r="D29" s="20" t="s">
        <v>412</v>
      </c>
      <c r="E29" s="46">
        <v>830</v>
      </c>
      <c r="F29" s="57">
        <v>160</v>
      </c>
      <c r="G29" s="56">
        <v>132800</v>
      </c>
      <c r="H29" s="57">
        <v>145</v>
      </c>
      <c r="I29" s="59">
        <v>120350</v>
      </c>
      <c r="J29" s="59">
        <v>260</v>
      </c>
      <c r="K29" s="59">
        <v>215800</v>
      </c>
    </row>
    <row r="30" spans="1:11" x14ac:dyDescent="0.35">
      <c r="A30" s="46">
        <v>17</v>
      </c>
      <c r="B30" s="23" t="s">
        <v>444</v>
      </c>
      <c r="C30" s="45" t="s">
        <v>445</v>
      </c>
      <c r="D30" s="20" t="s">
        <v>446</v>
      </c>
      <c r="E30" s="46">
        <v>405</v>
      </c>
      <c r="F30" s="57">
        <v>8</v>
      </c>
      <c r="G30" s="56">
        <v>3240</v>
      </c>
      <c r="H30" s="57">
        <v>4.2</v>
      </c>
      <c r="I30" s="59">
        <v>1701</v>
      </c>
      <c r="J30" s="59">
        <v>12</v>
      </c>
      <c r="K30" s="59">
        <v>4860</v>
      </c>
    </row>
    <row r="31" spans="1:11" x14ac:dyDescent="0.35">
      <c r="A31" s="46">
        <v>18</v>
      </c>
      <c r="B31" s="23" t="s">
        <v>447</v>
      </c>
      <c r="C31" s="45" t="s">
        <v>448</v>
      </c>
      <c r="D31" s="20" t="s">
        <v>446</v>
      </c>
      <c r="E31" s="46">
        <v>125</v>
      </c>
      <c r="F31" s="57">
        <v>8</v>
      </c>
      <c r="G31" s="56">
        <v>1000</v>
      </c>
      <c r="H31" s="57">
        <v>4.26</v>
      </c>
      <c r="I31" s="59">
        <v>532.5</v>
      </c>
      <c r="J31" s="59">
        <v>10</v>
      </c>
      <c r="K31" s="59">
        <v>1250</v>
      </c>
    </row>
    <row r="32" spans="1:11" x14ac:dyDescent="0.35">
      <c r="A32" s="46">
        <v>19</v>
      </c>
      <c r="B32" s="23" t="s">
        <v>706</v>
      </c>
      <c r="C32" s="45" t="s">
        <v>707</v>
      </c>
      <c r="D32" s="20" t="s">
        <v>407</v>
      </c>
      <c r="E32" s="46">
        <v>160</v>
      </c>
      <c r="F32" s="57">
        <v>165</v>
      </c>
      <c r="G32" s="56">
        <v>26400</v>
      </c>
      <c r="H32" s="57">
        <v>150</v>
      </c>
      <c r="I32" s="59">
        <v>24000</v>
      </c>
      <c r="J32" s="59">
        <v>150</v>
      </c>
      <c r="K32" s="59">
        <v>24000</v>
      </c>
    </row>
    <row r="33" spans="1:11" x14ac:dyDescent="0.35">
      <c r="A33" s="46">
        <v>20</v>
      </c>
      <c r="B33" s="23" t="s">
        <v>708</v>
      </c>
      <c r="C33" s="45" t="s">
        <v>709</v>
      </c>
      <c r="D33" s="20" t="s">
        <v>478</v>
      </c>
      <c r="E33" s="46">
        <v>1</v>
      </c>
      <c r="F33" s="56">
        <v>2500</v>
      </c>
      <c r="G33" s="56">
        <v>2500</v>
      </c>
      <c r="H33" s="57">
        <v>650</v>
      </c>
      <c r="I33" s="59">
        <v>650</v>
      </c>
      <c r="J33" s="59">
        <v>4000</v>
      </c>
      <c r="K33" s="59">
        <v>4000</v>
      </c>
    </row>
    <row r="34" spans="1:11" x14ac:dyDescent="0.35">
      <c r="A34" s="46">
        <v>21</v>
      </c>
      <c r="B34" s="23" t="s">
        <v>710</v>
      </c>
      <c r="C34" s="45" t="s">
        <v>711</v>
      </c>
      <c r="D34" s="20" t="s">
        <v>478</v>
      </c>
      <c r="E34" s="46">
        <v>1</v>
      </c>
      <c r="F34" s="56">
        <v>10000</v>
      </c>
      <c r="G34" s="56">
        <v>10000</v>
      </c>
      <c r="H34" s="56">
        <v>21000</v>
      </c>
      <c r="I34" s="59">
        <v>21000</v>
      </c>
      <c r="J34" s="59">
        <v>10000</v>
      </c>
      <c r="K34" s="59">
        <v>10000</v>
      </c>
    </row>
    <row r="35" spans="1:11" x14ac:dyDescent="0.35">
      <c r="A35" s="46">
        <v>22</v>
      </c>
      <c r="B35" s="23" t="s">
        <v>590</v>
      </c>
      <c r="C35" s="45" t="s">
        <v>450</v>
      </c>
      <c r="D35" s="20" t="s">
        <v>425</v>
      </c>
      <c r="E35" s="50">
        <v>0.5</v>
      </c>
      <c r="F35" s="56">
        <v>5000</v>
      </c>
      <c r="G35" s="56">
        <v>2500</v>
      </c>
      <c r="H35" s="56">
        <v>2400</v>
      </c>
      <c r="I35" s="59">
        <v>1200</v>
      </c>
      <c r="J35" s="59">
        <v>10000</v>
      </c>
      <c r="K35" s="59">
        <v>5000</v>
      </c>
    </row>
    <row r="36" spans="1:11" x14ac:dyDescent="0.35">
      <c r="A36" s="46">
        <v>23</v>
      </c>
      <c r="B36" s="23" t="s">
        <v>451</v>
      </c>
      <c r="C36" s="45" t="s">
        <v>712</v>
      </c>
      <c r="D36" s="20" t="s">
        <v>412</v>
      </c>
      <c r="E36" s="46">
        <v>270</v>
      </c>
      <c r="F36" s="57">
        <v>25</v>
      </c>
      <c r="G36" s="56">
        <v>6750</v>
      </c>
      <c r="H36" s="57">
        <v>26</v>
      </c>
      <c r="I36" s="59">
        <v>7020</v>
      </c>
      <c r="J36" s="59">
        <v>20</v>
      </c>
      <c r="K36" s="59">
        <v>5400</v>
      </c>
    </row>
    <row r="37" spans="1:11" x14ac:dyDescent="0.35">
      <c r="A37" s="46">
        <v>24</v>
      </c>
      <c r="B37" s="23" t="s">
        <v>453</v>
      </c>
      <c r="C37" s="45" t="s">
        <v>454</v>
      </c>
      <c r="D37" s="20" t="s">
        <v>428</v>
      </c>
      <c r="E37" s="46">
        <v>175</v>
      </c>
      <c r="F37" s="57">
        <v>50</v>
      </c>
      <c r="G37" s="56">
        <v>8750</v>
      </c>
      <c r="H37" s="57">
        <v>60</v>
      </c>
      <c r="I37" s="59">
        <v>10500</v>
      </c>
      <c r="J37" s="59">
        <v>80</v>
      </c>
      <c r="K37" s="59">
        <v>14000</v>
      </c>
    </row>
    <row r="38" spans="1:11" x14ac:dyDescent="0.35">
      <c r="A38" s="46">
        <v>25</v>
      </c>
      <c r="B38" s="23" t="s">
        <v>713</v>
      </c>
      <c r="C38" s="45" t="s">
        <v>714</v>
      </c>
      <c r="D38" s="20" t="s">
        <v>407</v>
      </c>
      <c r="E38" s="46">
        <v>225</v>
      </c>
      <c r="F38" s="57">
        <v>5</v>
      </c>
      <c r="G38" s="56">
        <v>1125</v>
      </c>
      <c r="H38" s="57">
        <v>30</v>
      </c>
      <c r="I38" s="59">
        <v>6750</v>
      </c>
      <c r="J38" s="59">
        <v>3</v>
      </c>
      <c r="K38" s="59">
        <v>675</v>
      </c>
    </row>
    <row r="39" spans="1:11" x14ac:dyDescent="0.35">
      <c r="A39" s="46">
        <v>26</v>
      </c>
      <c r="B39" s="23" t="s">
        <v>715</v>
      </c>
      <c r="C39" s="45" t="s">
        <v>716</v>
      </c>
      <c r="D39" s="20" t="s">
        <v>407</v>
      </c>
      <c r="E39" s="46">
        <v>225</v>
      </c>
      <c r="F39" s="57">
        <v>4</v>
      </c>
      <c r="G39" s="57">
        <v>900</v>
      </c>
      <c r="H39" s="57">
        <v>30</v>
      </c>
      <c r="I39" s="59">
        <v>6750</v>
      </c>
      <c r="J39" s="59">
        <v>3</v>
      </c>
      <c r="K39" s="59">
        <v>675</v>
      </c>
    </row>
    <row r="40" spans="1:11" x14ac:dyDescent="0.35">
      <c r="A40" s="46">
        <v>27</v>
      </c>
      <c r="B40" s="23" t="s">
        <v>717</v>
      </c>
      <c r="C40" s="45" t="s">
        <v>718</v>
      </c>
      <c r="D40" s="20" t="s">
        <v>478</v>
      </c>
      <c r="E40" s="46">
        <v>1</v>
      </c>
      <c r="F40" s="57">
        <v>175</v>
      </c>
      <c r="G40" s="57">
        <v>175</v>
      </c>
      <c r="H40" s="56">
        <v>3000</v>
      </c>
      <c r="I40" s="59">
        <v>3000</v>
      </c>
      <c r="J40" s="59">
        <v>200</v>
      </c>
      <c r="K40" s="59">
        <v>200</v>
      </c>
    </row>
    <row r="41" spans="1:11" x14ac:dyDescent="0.35">
      <c r="A41" s="46">
        <v>28</v>
      </c>
      <c r="B41" s="23" t="s">
        <v>719</v>
      </c>
      <c r="C41" s="45" t="s">
        <v>720</v>
      </c>
      <c r="D41" s="20" t="s">
        <v>407</v>
      </c>
      <c r="E41" s="46">
        <v>225</v>
      </c>
      <c r="F41" s="57">
        <v>8</v>
      </c>
      <c r="G41" s="56">
        <v>1800</v>
      </c>
      <c r="H41" s="57">
        <v>30</v>
      </c>
      <c r="I41" s="59">
        <v>6750</v>
      </c>
      <c r="J41" s="59">
        <v>15</v>
      </c>
      <c r="K41" s="59">
        <v>3375</v>
      </c>
    </row>
    <row r="42" spans="1:11" x14ac:dyDescent="0.35">
      <c r="A42" s="46">
        <v>29</v>
      </c>
      <c r="B42" s="23" t="s">
        <v>721</v>
      </c>
      <c r="C42" s="45" t="s">
        <v>722</v>
      </c>
      <c r="D42" s="20" t="s">
        <v>407</v>
      </c>
      <c r="E42" s="46">
        <v>60</v>
      </c>
      <c r="F42" s="57">
        <v>65</v>
      </c>
      <c r="G42" s="56">
        <v>3900</v>
      </c>
      <c r="H42" s="57">
        <v>100</v>
      </c>
      <c r="I42" s="59">
        <v>6000</v>
      </c>
      <c r="J42" s="59">
        <v>65</v>
      </c>
      <c r="K42" s="59">
        <v>3900</v>
      </c>
    </row>
    <row r="43" spans="1:11" ht="15" thickBot="1" x14ac:dyDescent="0.4">
      <c r="A43" s="46">
        <v>30</v>
      </c>
      <c r="B43" s="23" t="s">
        <v>723</v>
      </c>
      <c r="C43" s="45" t="s">
        <v>724</v>
      </c>
      <c r="D43" s="20" t="s">
        <v>478</v>
      </c>
      <c r="E43" s="46">
        <v>1</v>
      </c>
      <c r="F43" s="56">
        <v>18000</v>
      </c>
      <c r="G43" s="56">
        <v>18000</v>
      </c>
      <c r="H43" s="56">
        <v>2500</v>
      </c>
      <c r="I43" s="59">
        <v>2500</v>
      </c>
      <c r="J43" s="59">
        <v>22950</v>
      </c>
      <c r="K43" s="59">
        <v>22950</v>
      </c>
    </row>
    <row r="44" spans="1:11" ht="16" thickBot="1" x14ac:dyDescent="0.4">
      <c r="D44" s="178" t="s">
        <v>725</v>
      </c>
      <c r="E44" s="203"/>
      <c r="F44" s="192">
        <f>SUM(G14:G43)</f>
        <v>541075</v>
      </c>
      <c r="G44" s="207"/>
      <c r="H44" s="192">
        <f>SUM(I14:I43)</f>
        <v>516538.5</v>
      </c>
      <c r="I44" s="207"/>
      <c r="J44" s="192">
        <f>SUM(K14:K43)</f>
        <v>934325</v>
      </c>
      <c r="K44" s="208"/>
    </row>
    <row r="45" spans="1:11" ht="16" thickBot="1" x14ac:dyDescent="0.4">
      <c r="D45" s="178" t="s">
        <v>726</v>
      </c>
      <c r="E45" s="203"/>
      <c r="F45" s="194" t="s">
        <v>727</v>
      </c>
      <c r="G45" s="204"/>
      <c r="H45" s="200">
        <f>(H44-F44)/F44 * 100</f>
        <v>-4.5347687474010074</v>
      </c>
      <c r="I45" s="201"/>
      <c r="J45" s="200">
        <f>(J44-F44)/F44 *100</f>
        <v>72.679388254863014</v>
      </c>
      <c r="K45" s="202"/>
    </row>
    <row r="46" spans="1:11" ht="15" thickBot="1" x14ac:dyDescent="0.4">
      <c r="B46"/>
      <c r="C46" s="14"/>
      <c r="E46"/>
    </row>
    <row r="47" spans="1:11" ht="16" thickBot="1" x14ac:dyDescent="0.4">
      <c r="A47" s="173" t="s">
        <v>728</v>
      </c>
      <c r="B47" s="174"/>
      <c r="C47" s="174"/>
      <c r="D47" s="174"/>
      <c r="E47" s="175"/>
      <c r="F47" s="173" t="s">
        <v>574</v>
      </c>
      <c r="G47" s="175"/>
      <c r="H47" s="173" t="s">
        <v>690</v>
      </c>
      <c r="I47" s="175"/>
      <c r="J47" s="173" t="s">
        <v>395</v>
      </c>
      <c r="K47" s="175"/>
    </row>
    <row r="48" spans="1:11" x14ac:dyDescent="0.35">
      <c r="A48" s="60" t="s">
        <v>15</v>
      </c>
      <c r="B48" s="61" t="s">
        <v>396</v>
      </c>
      <c r="C48" s="61" t="s">
        <v>17</v>
      </c>
      <c r="D48" s="61" t="s">
        <v>18</v>
      </c>
      <c r="E48" s="61" t="s">
        <v>19</v>
      </c>
      <c r="F48" s="61" t="s">
        <v>20</v>
      </c>
      <c r="G48" s="61" t="s">
        <v>21</v>
      </c>
      <c r="H48" s="74" t="s">
        <v>20</v>
      </c>
      <c r="I48" s="74" t="s">
        <v>21</v>
      </c>
      <c r="J48" s="74" t="s">
        <v>20</v>
      </c>
      <c r="K48" s="75" t="s">
        <v>400</v>
      </c>
    </row>
    <row r="49" spans="1:14" x14ac:dyDescent="0.35">
      <c r="A49" s="62">
        <v>31</v>
      </c>
      <c r="B49" s="63" t="s">
        <v>729</v>
      </c>
      <c r="C49" s="64" t="s">
        <v>730</v>
      </c>
      <c r="D49" s="63" t="s">
        <v>435</v>
      </c>
      <c r="E49" s="65">
        <v>85</v>
      </c>
      <c r="F49" s="73">
        <v>35</v>
      </c>
      <c r="G49" s="66">
        <v>2975</v>
      </c>
      <c r="H49" s="73">
        <v>160</v>
      </c>
      <c r="I49" s="51">
        <v>13600</v>
      </c>
      <c r="J49" s="55">
        <v>65</v>
      </c>
      <c r="K49" s="51">
        <v>5525</v>
      </c>
      <c r="N49" s="55"/>
    </row>
    <row r="50" spans="1:14" x14ac:dyDescent="0.35">
      <c r="A50" s="67">
        <v>32</v>
      </c>
      <c r="B50" s="68" t="s">
        <v>442</v>
      </c>
      <c r="C50" s="69" t="s">
        <v>731</v>
      </c>
      <c r="D50" s="68" t="s">
        <v>412</v>
      </c>
      <c r="E50" s="70">
        <v>200</v>
      </c>
      <c r="F50" s="72">
        <v>160</v>
      </c>
      <c r="G50" s="71">
        <v>32000</v>
      </c>
      <c r="H50" s="72">
        <v>175</v>
      </c>
      <c r="I50" s="51">
        <v>35000</v>
      </c>
      <c r="J50" s="55">
        <v>260</v>
      </c>
      <c r="K50" s="51">
        <v>52000</v>
      </c>
      <c r="N50" s="55"/>
    </row>
    <row r="51" spans="1:14" x14ac:dyDescent="0.35">
      <c r="A51" s="62">
        <v>33</v>
      </c>
      <c r="B51" s="63" t="s">
        <v>732</v>
      </c>
      <c r="C51" s="64" t="s">
        <v>733</v>
      </c>
      <c r="D51" s="63" t="s">
        <v>28</v>
      </c>
      <c r="E51" s="65">
        <v>1</v>
      </c>
      <c r="F51" s="66">
        <v>430000</v>
      </c>
      <c r="G51" s="66">
        <v>430000</v>
      </c>
      <c r="H51" s="89">
        <v>408411</v>
      </c>
      <c r="I51" s="51">
        <v>408411</v>
      </c>
      <c r="J51" s="51">
        <v>628000</v>
      </c>
      <c r="K51" s="51">
        <v>628000</v>
      </c>
      <c r="N51" s="51"/>
    </row>
    <row r="52" spans="1:14" x14ac:dyDescent="0.35">
      <c r="A52" s="67">
        <v>34</v>
      </c>
      <c r="B52" s="68" t="s">
        <v>732</v>
      </c>
      <c r="C52" s="69" t="s">
        <v>734</v>
      </c>
      <c r="D52" s="68" t="s">
        <v>28</v>
      </c>
      <c r="E52" s="70">
        <v>1</v>
      </c>
      <c r="F52" s="71">
        <v>475000</v>
      </c>
      <c r="G52" s="71">
        <v>475000</v>
      </c>
      <c r="H52" s="71">
        <v>410438</v>
      </c>
      <c r="I52" s="51">
        <v>410438</v>
      </c>
      <c r="J52" s="51">
        <v>628000</v>
      </c>
      <c r="K52" s="51">
        <v>628000</v>
      </c>
      <c r="N52" s="51"/>
    </row>
    <row r="53" spans="1:14" ht="15" thickBot="1" x14ac:dyDescent="0.4">
      <c r="A53" s="62">
        <v>35</v>
      </c>
      <c r="B53" s="63" t="s">
        <v>732</v>
      </c>
      <c r="C53" s="64" t="s">
        <v>735</v>
      </c>
      <c r="D53" s="63" t="s">
        <v>28</v>
      </c>
      <c r="E53" s="65">
        <v>1</v>
      </c>
      <c r="F53" s="66">
        <v>25000</v>
      </c>
      <c r="G53" s="66">
        <v>25000</v>
      </c>
      <c r="H53" s="89">
        <v>32341</v>
      </c>
      <c r="I53" s="51">
        <v>32341</v>
      </c>
      <c r="J53" s="51">
        <v>26000</v>
      </c>
      <c r="K53" s="51">
        <v>26000</v>
      </c>
      <c r="N53" s="51"/>
    </row>
    <row r="54" spans="1:14" ht="16" thickBot="1" x14ac:dyDescent="0.4">
      <c r="B54"/>
      <c r="C54" s="14"/>
      <c r="D54" s="178" t="s">
        <v>736</v>
      </c>
      <c r="E54" s="203"/>
      <c r="F54" s="192">
        <f>SUM(G49:G53)</f>
        <v>964975</v>
      </c>
      <c r="G54" s="207"/>
      <c r="H54" s="192">
        <f>SUM(Table10[EXTENDED TOTAL])</f>
        <v>899790</v>
      </c>
      <c r="I54" s="207"/>
      <c r="J54" s="192">
        <f>SUM(Table10[[EXTENDED TOTAL  ]])</f>
        <v>1339525</v>
      </c>
      <c r="K54" s="207"/>
    </row>
    <row r="55" spans="1:14" ht="16" thickBot="1" x14ac:dyDescent="0.4">
      <c r="B55"/>
      <c r="C55" s="14"/>
      <c r="D55" s="178" t="s">
        <v>737</v>
      </c>
      <c r="E55" s="203"/>
      <c r="F55" s="205">
        <v>1506050</v>
      </c>
      <c r="G55" s="206"/>
      <c r="H55" s="205">
        <v>1416328.5</v>
      </c>
      <c r="I55" s="206"/>
      <c r="J55" s="205">
        <v>2273850</v>
      </c>
      <c r="K55" s="206"/>
    </row>
    <row r="56" spans="1:14" ht="16" thickBot="1" x14ac:dyDescent="0.4">
      <c r="B56"/>
      <c r="C56" s="14"/>
      <c r="D56" s="178" t="s">
        <v>591</v>
      </c>
      <c r="E56" s="203"/>
      <c r="F56" s="194" t="s">
        <v>727</v>
      </c>
      <c r="G56" s="204"/>
      <c r="H56" s="200">
        <f>(H55-F55)/F55 * 100</f>
        <v>-5.9574051326317186</v>
      </c>
      <c r="I56" s="201"/>
      <c r="J56" s="200">
        <f>(J55-F55)/F55 *100</f>
        <v>50.981043126058232</v>
      </c>
      <c r="K56" s="202"/>
    </row>
    <row r="57" spans="1:14" x14ac:dyDescent="0.35">
      <c r="B57"/>
      <c r="C57" s="14"/>
      <c r="E57"/>
    </row>
    <row r="58" spans="1:14" x14ac:dyDescent="0.35">
      <c r="B58"/>
      <c r="C58" s="14"/>
      <c r="E58"/>
    </row>
    <row r="59" spans="1:14" x14ac:dyDescent="0.35">
      <c r="B59"/>
      <c r="E59"/>
      <c r="K59" s="88"/>
    </row>
    <row r="60" spans="1:14" x14ac:dyDescent="0.35">
      <c r="B60"/>
      <c r="E60"/>
    </row>
    <row r="61" spans="1:14" x14ac:dyDescent="0.35">
      <c r="B61"/>
      <c r="E61"/>
    </row>
    <row r="62" spans="1:14" x14ac:dyDescent="0.35">
      <c r="B62"/>
      <c r="E62"/>
    </row>
    <row r="63" spans="1:14" x14ac:dyDescent="0.35">
      <c r="B63"/>
      <c r="E63"/>
    </row>
    <row r="64" spans="1:14" x14ac:dyDescent="0.35">
      <c r="B64"/>
      <c r="E64"/>
    </row>
    <row r="65" spans="2:5" x14ac:dyDescent="0.35">
      <c r="B65"/>
      <c r="E65"/>
    </row>
    <row r="66" spans="2:5" x14ac:dyDescent="0.35">
      <c r="B66"/>
      <c r="E66"/>
    </row>
    <row r="67" spans="2:5" x14ac:dyDescent="0.35">
      <c r="B67"/>
    </row>
    <row r="112" ht="14.5" customHeight="1" x14ac:dyDescent="0.35"/>
    <row r="113" ht="14.5" customHeight="1" x14ac:dyDescent="0.35"/>
  </sheetData>
  <mergeCells count="28">
    <mergeCell ref="D45:E45"/>
    <mergeCell ref="F45:G45"/>
    <mergeCell ref="H45:I45"/>
    <mergeCell ref="J45:K45"/>
    <mergeCell ref="A12:E12"/>
    <mergeCell ref="F12:G12"/>
    <mergeCell ref="H12:I12"/>
    <mergeCell ref="J12:K12"/>
    <mergeCell ref="D44:E44"/>
    <mergeCell ref="F44:G44"/>
    <mergeCell ref="H44:I44"/>
    <mergeCell ref="J44:K44"/>
    <mergeCell ref="H56:I56"/>
    <mergeCell ref="J56:K56"/>
    <mergeCell ref="A47:E47"/>
    <mergeCell ref="F47:G47"/>
    <mergeCell ref="H47:I47"/>
    <mergeCell ref="J47:K47"/>
    <mergeCell ref="D56:E56"/>
    <mergeCell ref="F56:G56"/>
    <mergeCell ref="D55:E55"/>
    <mergeCell ref="F55:G55"/>
    <mergeCell ref="H55:I55"/>
    <mergeCell ref="J55:K55"/>
    <mergeCell ref="D54:E54"/>
    <mergeCell ref="F54:G54"/>
    <mergeCell ref="H54:I54"/>
    <mergeCell ref="J54:K54"/>
  </mergeCells>
  <phoneticPr fontId="10" type="noConversion"/>
  <pageMargins left="0.7" right="0.7" top="0.75" bottom="0.75" header="0.3" footer="0.3"/>
  <pageSetup orientation="portrait" verticalDpi="0" r:id="rId1"/>
  <drawing r:id="rId2"/>
  <tableParts count="3">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BB222-3DFD-4CE3-ABF3-AB1A8D30DA14}">
  <sheetPr codeName="Sheet9"/>
  <dimension ref="A1:Q109"/>
  <sheetViews>
    <sheetView zoomScale="70" zoomScaleNormal="70" workbookViewId="0">
      <selection activeCell="O14" sqref="O14:P21"/>
    </sheetView>
  </sheetViews>
  <sheetFormatPr defaultRowHeight="14.5" x14ac:dyDescent="0.35"/>
  <cols>
    <col min="1" max="1" width="20.81640625" bestFit="1" customWidth="1"/>
    <col min="2" max="2" width="21.453125" style="32" bestFit="1" customWidth="1"/>
    <col min="3" max="3" width="119.7265625" customWidth="1"/>
    <col min="4" max="4" width="13.54296875" bestFit="1" customWidth="1"/>
    <col min="5" max="5" width="26" style="6" customWidth="1"/>
    <col min="6" max="6" width="14.453125" customWidth="1"/>
    <col min="7" max="7" width="22.54296875" customWidth="1"/>
    <col min="8" max="8" width="26" customWidth="1"/>
    <col min="9" max="9" width="14.453125" customWidth="1"/>
    <col min="10" max="10" width="22.54296875" customWidth="1"/>
    <col min="11" max="11" width="26" customWidth="1"/>
    <col min="12" max="12" width="14.453125" customWidth="1"/>
    <col min="13" max="13" width="22.54296875" customWidth="1"/>
    <col min="14" max="14" width="26" customWidth="1"/>
    <col min="15" max="15" width="14.453125" customWidth="1"/>
    <col min="16" max="16" width="22.54296875" customWidth="1"/>
  </cols>
  <sheetData>
    <row r="1" spans="1:17" x14ac:dyDescent="0.35">
      <c r="A1" s="14"/>
      <c r="B1" s="29"/>
      <c r="C1" s="14"/>
      <c r="D1" s="14"/>
      <c r="E1" s="16"/>
      <c r="F1" s="14"/>
      <c r="G1" s="14"/>
      <c r="H1" s="14"/>
      <c r="I1" s="14"/>
      <c r="J1" s="14"/>
      <c r="K1" s="14"/>
      <c r="L1" s="14"/>
    </row>
    <row r="2" spans="1:17" x14ac:dyDescent="0.35">
      <c r="A2" s="14"/>
      <c r="B2" s="29"/>
      <c r="C2" s="14"/>
      <c r="D2" s="14"/>
      <c r="E2" s="16"/>
      <c r="F2" s="14"/>
      <c r="G2" s="14"/>
      <c r="H2" s="14"/>
      <c r="I2" s="14"/>
      <c r="J2" s="14"/>
      <c r="K2" s="14"/>
      <c r="L2" s="14"/>
    </row>
    <row r="3" spans="1:17" ht="15.5" x14ac:dyDescent="0.35">
      <c r="A3" s="15" t="s">
        <v>0</v>
      </c>
      <c r="B3" s="29" t="s">
        <v>244</v>
      </c>
      <c r="C3" s="14"/>
      <c r="D3" s="15"/>
      <c r="E3" s="16"/>
      <c r="F3" s="14"/>
      <c r="G3" s="14"/>
      <c r="H3" s="14"/>
      <c r="I3" s="14"/>
      <c r="J3" s="14"/>
      <c r="K3" s="14"/>
      <c r="L3" s="14"/>
    </row>
    <row r="4" spans="1:17" ht="15.5" x14ac:dyDescent="0.35">
      <c r="A4" s="15" t="s">
        <v>2</v>
      </c>
      <c r="B4" s="29" t="str">
        <f>VLOOKUP($B$3,DATA!$A$2:$E$80,3)</f>
        <v>Jackson</v>
      </c>
      <c r="C4" s="14"/>
      <c r="D4" s="15"/>
      <c r="E4" s="16"/>
      <c r="F4" s="14"/>
      <c r="G4" s="14"/>
      <c r="H4" s="14"/>
      <c r="I4" s="14"/>
      <c r="J4" s="14"/>
      <c r="K4" s="14"/>
      <c r="L4" s="14"/>
    </row>
    <row r="5" spans="1:17" ht="15.5" x14ac:dyDescent="0.35">
      <c r="A5" s="15" t="s">
        <v>3</v>
      </c>
      <c r="B5" s="29" t="str">
        <f>VLOOKUP($B$3,DATA!$A$2:$E$80,4)</f>
        <v>McKellar-Sipes Regional</v>
      </c>
      <c r="C5" s="14"/>
      <c r="D5" s="15"/>
      <c r="E5" s="16"/>
      <c r="F5" s="14"/>
      <c r="G5" s="14"/>
      <c r="H5" s="14"/>
      <c r="I5" s="14"/>
      <c r="J5" s="14"/>
      <c r="K5" s="14"/>
      <c r="L5" s="14"/>
    </row>
    <row r="6" spans="1:17" ht="15.5" x14ac:dyDescent="0.35">
      <c r="A6" s="15" t="s">
        <v>4</v>
      </c>
      <c r="B6" s="29" t="s">
        <v>362</v>
      </c>
      <c r="C6" s="14"/>
      <c r="D6" s="15"/>
      <c r="E6" s="16"/>
      <c r="F6" s="14"/>
      <c r="G6" s="14"/>
      <c r="H6" s="14"/>
      <c r="I6" s="14"/>
      <c r="J6" s="14"/>
      <c r="K6" s="14"/>
      <c r="L6" s="14"/>
    </row>
    <row r="7" spans="1:17" ht="15.5" x14ac:dyDescent="0.35">
      <c r="A7" s="15" t="s">
        <v>6</v>
      </c>
      <c r="B7" t="s">
        <v>363</v>
      </c>
      <c r="C7" s="14"/>
      <c r="D7" s="15"/>
      <c r="E7" s="16"/>
      <c r="F7" s="14"/>
      <c r="G7" s="14"/>
      <c r="H7" s="14"/>
      <c r="I7" s="14"/>
      <c r="J7" s="14"/>
      <c r="K7" s="14"/>
      <c r="L7" s="14"/>
    </row>
    <row r="8" spans="1:17" ht="15.5" x14ac:dyDescent="0.35">
      <c r="A8" s="15" t="s">
        <v>8</v>
      </c>
      <c r="B8" s="58"/>
      <c r="C8" s="14"/>
      <c r="D8" s="15"/>
      <c r="E8" s="33"/>
      <c r="F8" s="14"/>
      <c r="G8" s="14"/>
      <c r="H8" s="14"/>
      <c r="I8" s="14"/>
      <c r="J8" s="14"/>
      <c r="K8" s="14"/>
      <c r="L8" s="14"/>
    </row>
    <row r="9" spans="1:17" ht="15.5" x14ac:dyDescent="0.35">
      <c r="A9" s="15" t="s">
        <v>9</v>
      </c>
      <c r="B9" s="29" t="str">
        <f>VLOOKUP($B$3,DATA!$A$2:$E$80,2)</f>
        <v>Madison</v>
      </c>
      <c r="C9" s="14"/>
      <c r="D9" s="15"/>
      <c r="E9" s="16"/>
      <c r="F9" s="14"/>
      <c r="G9" s="14"/>
      <c r="H9" s="14"/>
      <c r="I9" s="14"/>
      <c r="J9" s="14"/>
      <c r="K9" s="14"/>
      <c r="L9" s="14"/>
    </row>
    <row r="10" spans="1:17" ht="15.5" x14ac:dyDescent="0.35">
      <c r="A10" s="15" t="s">
        <v>10</v>
      </c>
      <c r="B10" s="14" t="str">
        <f>VLOOKUP($B$3,DATA!$A$2:$E$80,5)</f>
        <v>West</v>
      </c>
      <c r="C10" s="14"/>
      <c r="D10" s="15"/>
      <c r="E10" s="16"/>
      <c r="F10" s="14"/>
      <c r="G10" s="14"/>
      <c r="H10" s="14"/>
      <c r="I10" s="14"/>
      <c r="J10" s="14"/>
      <c r="K10" s="14"/>
      <c r="L10" s="14"/>
      <c r="N10" s="51"/>
    </row>
    <row r="11" spans="1:17" ht="16" thickBot="1" x14ac:dyDescent="0.4">
      <c r="A11" s="15"/>
      <c r="B11" s="29"/>
      <c r="C11" s="14"/>
      <c r="D11" s="15"/>
      <c r="E11" s="16"/>
      <c r="F11" s="14"/>
      <c r="G11" s="14"/>
      <c r="H11" s="14"/>
      <c r="I11" s="14"/>
      <c r="J11" s="14"/>
      <c r="K11" s="14"/>
      <c r="L11" s="14"/>
    </row>
    <row r="12" spans="1:17" ht="16" thickBot="1" x14ac:dyDescent="0.4">
      <c r="A12" s="173" t="s">
        <v>738</v>
      </c>
      <c r="B12" s="174"/>
      <c r="C12" s="174"/>
      <c r="D12" s="174"/>
      <c r="E12" s="174" t="s">
        <v>1311</v>
      </c>
      <c r="F12" s="174"/>
      <c r="G12" s="175"/>
      <c r="H12" s="173" t="s">
        <v>739</v>
      </c>
      <c r="I12" s="174"/>
      <c r="J12" s="174"/>
      <c r="K12" s="174" t="s">
        <v>740</v>
      </c>
      <c r="L12" s="174"/>
      <c r="M12" s="175"/>
      <c r="N12" s="174" t="s">
        <v>741</v>
      </c>
      <c r="O12" s="174"/>
      <c r="P12" s="175"/>
    </row>
    <row r="13" spans="1:17" ht="15" customHeight="1" x14ac:dyDescent="0.35">
      <c r="A13" s="16" t="s">
        <v>15</v>
      </c>
      <c r="B13" s="23" t="s">
        <v>396</v>
      </c>
      <c r="C13" s="16" t="s">
        <v>17</v>
      </c>
      <c r="D13" s="16" t="s">
        <v>18</v>
      </c>
      <c r="E13" s="16" t="s">
        <v>19</v>
      </c>
      <c r="F13" s="16" t="s">
        <v>20</v>
      </c>
      <c r="G13" s="16" t="s">
        <v>21</v>
      </c>
      <c r="H13" s="16" t="s">
        <v>742</v>
      </c>
      <c r="I13" s="16" t="s">
        <v>397</v>
      </c>
      <c r="J13" s="16" t="s">
        <v>398</v>
      </c>
      <c r="K13" s="16" t="s">
        <v>743</v>
      </c>
      <c r="L13" s="16" t="s">
        <v>399</v>
      </c>
      <c r="M13" s="16" t="s">
        <v>400</v>
      </c>
      <c r="N13" s="16" t="s">
        <v>744</v>
      </c>
      <c r="O13" s="16" t="s">
        <v>401</v>
      </c>
      <c r="P13" s="16" t="s">
        <v>402</v>
      </c>
      <c r="Q13" s="14"/>
    </row>
    <row r="14" spans="1:17" x14ac:dyDescent="0.35">
      <c r="A14" s="46">
        <v>1</v>
      </c>
      <c r="B14" s="23" t="s">
        <v>483</v>
      </c>
      <c r="C14" s="14" t="s">
        <v>484</v>
      </c>
      <c r="D14" s="46" t="s">
        <v>28</v>
      </c>
      <c r="E14" s="16">
        <v>1</v>
      </c>
      <c r="F14" s="56">
        <v>25000</v>
      </c>
      <c r="G14" s="56">
        <v>25000</v>
      </c>
      <c r="H14" s="16">
        <v>1</v>
      </c>
      <c r="I14" s="56">
        <v>21046</v>
      </c>
      <c r="J14" s="56">
        <v>21046</v>
      </c>
      <c r="K14" s="16">
        <v>1</v>
      </c>
      <c r="L14" s="91">
        <v>12350</v>
      </c>
      <c r="M14" s="91">
        <v>12350</v>
      </c>
      <c r="N14" s="16">
        <v>1</v>
      </c>
      <c r="O14" s="56">
        <v>54600</v>
      </c>
      <c r="P14" s="91">
        <v>54600</v>
      </c>
      <c r="Q14" s="14"/>
    </row>
    <row r="15" spans="1:17" x14ac:dyDescent="0.35">
      <c r="A15" s="46">
        <v>2</v>
      </c>
      <c r="B15" s="23" t="s">
        <v>31</v>
      </c>
      <c r="C15" s="14" t="s">
        <v>745</v>
      </c>
      <c r="D15" s="46" t="s">
        <v>478</v>
      </c>
      <c r="E15" s="16">
        <v>1</v>
      </c>
      <c r="F15" s="56">
        <v>5000</v>
      </c>
      <c r="G15" s="56">
        <v>5000</v>
      </c>
      <c r="H15" s="16">
        <v>2</v>
      </c>
      <c r="I15" s="56">
        <v>4901</v>
      </c>
      <c r="J15" s="56">
        <v>9802</v>
      </c>
      <c r="K15" s="16">
        <v>1</v>
      </c>
      <c r="L15" s="91">
        <v>5220</v>
      </c>
      <c r="M15" s="91">
        <v>5220</v>
      </c>
      <c r="N15" s="16">
        <v>1</v>
      </c>
      <c r="O15" s="91">
        <v>7115</v>
      </c>
      <c r="P15" s="91">
        <v>7115</v>
      </c>
      <c r="Q15" s="14"/>
    </row>
    <row r="16" spans="1:17" x14ac:dyDescent="0.35">
      <c r="A16" s="46">
        <v>3</v>
      </c>
      <c r="B16" s="23" t="s">
        <v>746</v>
      </c>
      <c r="C16" s="14" t="s">
        <v>747</v>
      </c>
      <c r="D16" s="46" t="s">
        <v>478</v>
      </c>
      <c r="E16" s="16">
        <v>15</v>
      </c>
      <c r="F16" s="56">
        <v>5500</v>
      </c>
      <c r="G16" s="56">
        <v>82500</v>
      </c>
      <c r="H16" s="16">
        <v>14</v>
      </c>
      <c r="I16" s="56">
        <v>5738</v>
      </c>
      <c r="J16" s="56">
        <v>80332</v>
      </c>
      <c r="K16" s="16">
        <v>15</v>
      </c>
      <c r="L16" s="91">
        <v>5500</v>
      </c>
      <c r="M16" s="91">
        <v>82500</v>
      </c>
      <c r="N16" s="16">
        <v>15</v>
      </c>
      <c r="O16" s="91">
        <v>9060</v>
      </c>
      <c r="P16" s="91">
        <v>135900</v>
      </c>
      <c r="Q16" s="14"/>
    </row>
    <row r="17" spans="1:17" x14ac:dyDescent="0.35">
      <c r="A17" s="46">
        <v>4</v>
      </c>
      <c r="B17" s="23" t="s">
        <v>748</v>
      </c>
      <c r="C17" s="14" t="s">
        <v>749</v>
      </c>
      <c r="D17" s="46" t="s">
        <v>478</v>
      </c>
      <c r="E17" s="16">
        <v>15</v>
      </c>
      <c r="F17" s="56">
        <v>6000</v>
      </c>
      <c r="G17" s="56">
        <v>90000</v>
      </c>
      <c r="H17" s="16">
        <v>11</v>
      </c>
      <c r="I17" s="56">
        <v>6832</v>
      </c>
      <c r="J17" s="56">
        <v>75152</v>
      </c>
      <c r="K17" s="16">
        <v>15</v>
      </c>
      <c r="L17" s="91">
        <v>6230</v>
      </c>
      <c r="M17" s="91">
        <v>93450</v>
      </c>
      <c r="N17" s="16">
        <v>15</v>
      </c>
      <c r="O17" s="91">
        <v>9560</v>
      </c>
      <c r="P17" s="91">
        <v>143400</v>
      </c>
      <c r="Q17" s="14"/>
    </row>
    <row r="18" spans="1:17" x14ac:dyDescent="0.35">
      <c r="A18" s="46">
        <v>5</v>
      </c>
      <c r="B18" s="23" t="s">
        <v>750</v>
      </c>
      <c r="C18" s="14" t="s">
        <v>751</v>
      </c>
      <c r="D18" s="46" t="s">
        <v>478</v>
      </c>
      <c r="E18" s="16">
        <v>2</v>
      </c>
      <c r="F18" s="56">
        <v>6500</v>
      </c>
      <c r="G18" s="56">
        <v>13000</v>
      </c>
      <c r="H18" s="16">
        <v>4</v>
      </c>
      <c r="I18" s="56">
        <v>6566</v>
      </c>
      <c r="J18" s="56">
        <v>26264</v>
      </c>
      <c r="K18" s="16">
        <v>2</v>
      </c>
      <c r="L18" s="91">
        <v>7950</v>
      </c>
      <c r="M18" s="91">
        <v>15900</v>
      </c>
      <c r="N18" s="16">
        <v>2</v>
      </c>
      <c r="O18" s="91">
        <v>7915</v>
      </c>
      <c r="P18" s="91">
        <v>15830</v>
      </c>
      <c r="Q18" s="14"/>
    </row>
    <row r="19" spans="1:17" x14ac:dyDescent="0.35">
      <c r="A19" s="46">
        <v>6</v>
      </c>
      <c r="B19" s="23" t="s">
        <v>752</v>
      </c>
      <c r="C19" s="14" t="s">
        <v>753</v>
      </c>
      <c r="D19" s="48" t="s">
        <v>478</v>
      </c>
      <c r="E19" s="16">
        <v>2</v>
      </c>
      <c r="F19" s="56">
        <v>5800</v>
      </c>
      <c r="G19" s="56">
        <v>11600</v>
      </c>
      <c r="H19" s="16">
        <v>2</v>
      </c>
      <c r="I19" s="57">
        <v>5007</v>
      </c>
      <c r="J19" s="87">
        <v>10014</v>
      </c>
      <c r="K19" s="16">
        <v>2</v>
      </c>
      <c r="L19" s="91">
        <v>5800</v>
      </c>
      <c r="M19" s="91">
        <v>11600</v>
      </c>
      <c r="N19" s="16">
        <v>2</v>
      </c>
      <c r="O19" s="91">
        <v>7320</v>
      </c>
      <c r="P19" s="91">
        <v>14640</v>
      </c>
      <c r="Q19" s="14"/>
    </row>
    <row r="20" spans="1:17" x14ac:dyDescent="0.35">
      <c r="A20" s="46">
        <v>7</v>
      </c>
      <c r="B20" s="23" t="s">
        <v>754</v>
      </c>
      <c r="C20" s="14" t="s">
        <v>755</v>
      </c>
      <c r="D20" s="46" t="s">
        <v>28</v>
      </c>
      <c r="E20" s="16">
        <v>1</v>
      </c>
      <c r="F20" s="56">
        <v>5500</v>
      </c>
      <c r="G20" s="56">
        <v>5500</v>
      </c>
      <c r="H20" s="16">
        <v>1</v>
      </c>
      <c r="I20" s="57">
        <v>3182</v>
      </c>
      <c r="J20" s="87">
        <v>3182</v>
      </c>
      <c r="K20" s="16">
        <v>1</v>
      </c>
      <c r="L20" s="91">
        <v>3000</v>
      </c>
      <c r="M20" s="91">
        <v>3000</v>
      </c>
      <c r="N20" s="16">
        <v>1</v>
      </c>
      <c r="O20" s="91">
        <v>2475</v>
      </c>
      <c r="P20" s="91">
        <v>2475</v>
      </c>
      <c r="Q20" s="14"/>
    </row>
    <row r="21" spans="1:17" ht="15" thickBot="1" x14ac:dyDescent="0.4">
      <c r="A21" s="46">
        <v>8</v>
      </c>
      <c r="B21" s="23" t="s">
        <v>754</v>
      </c>
      <c r="C21" s="14" t="s">
        <v>756</v>
      </c>
      <c r="D21" s="48" t="s">
        <v>28</v>
      </c>
      <c r="E21" s="16">
        <v>1</v>
      </c>
      <c r="F21" s="56">
        <v>17500</v>
      </c>
      <c r="G21" s="56">
        <v>17500</v>
      </c>
      <c r="H21" s="16">
        <v>1</v>
      </c>
      <c r="I21" s="57">
        <v>12353</v>
      </c>
      <c r="J21" s="87">
        <v>12353</v>
      </c>
      <c r="K21" s="16">
        <v>1</v>
      </c>
      <c r="L21" s="91">
        <v>22500</v>
      </c>
      <c r="M21" s="91">
        <v>22500</v>
      </c>
      <c r="N21" s="16">
        <v>1</v>
      </c>
      <c r="O21" s="91">
        <v>80450</v>
      </c>
      <c r="P21" s="91">
        <v>80450</v>
      </c>
      <c r="Q21" s="14"/>
    </row>
    <row r="22" spans="1:17" ht="16" thickBot="1" x14ac:dyDescent="0.4">
      <c r="D22" s="178" t="s">
        <v>510</v>
      </c>
      <c r="E22" s="179"/>
      <c r="F22" s="209">
        <f>SUM(G14:G21)</f>
        <v>250100</v>
      </c>
      <c r="G22" s="209"/>
      <c r="H22" s="209">
        <f>SUM(Table001__Page_2_33512[[EXTENDED TOTAL ]])</f>
        <v>238145</v>
      </c>
      <c r="I22" s="209"/>
      <c r="J22" s="209"/>
      <c r="K22" s="209">
        <f>SUM(Table001__Page_2_33512[[EXTENDED TOTAL  ]])</f>
        <v>246520</v>
      </c>
      <c r="L22" s="209"/>
      <c r="M22" s="209"/>
      <c r="N22" s="209">
        <f>SUM(Table001__Page_2_33512[[EXTENDED TOTAL   ]])</f>
        <v>454410</v>
      </c>
      <c r="O22" s="209"/>
      <c r="P22" s="209"/>
    </row>
    <row r="23" spans="1:17" x14ac:dyDescent="0.35">
      <c r="L23" s="14"/>
    </row>
    <row r="24" spans="1:17" x14ac:dyDescent="0.35">
      <c r="L24" s="14"/>
    </row>
    <row r="25" spans="1:17" x14ac:dyDescent="0.35">
      <c r="B25"/>
      <c r="E25"/>
      <c r="L25" s="14"/>
    </row>
    <row r="26" spans="1:17" ht="15" hidden="1" customHeight="1" x14ac:dyDescent="0.35">
      <c r="B26"/>
      <c r="E26"/>
      <c r="L26" s="14"/>
    </row>
    <row r="27" spans="1:17" ht="15.75" hidden="1" customHeight="1" thickBot="1" x14ac:dyDescent="0.4">
      <c r="B27"/>
      <c r="E27"/>
      <c r="L27" s="14"/>
    </row>
    <row r="28" spans="1:17" x14ac:dyDescent="0.35">
      <c r="B28"/>
      <c r="E28"/>
      <c r="L28" s="14"/>
    </row>
    <row r="29" spans="1:17" x14ac:dyDescent="0.35">
      <c r="B29"/>
      <c r="E29"/>
      <c r="L29" s="14"/>
    </row>
    <row r="30" spans="1:17" x14ac:dyDescent="0.35">
      <c r="B30"/>
      <c r="E30"/>
      <c r="L30" s="14"/>
    </row>
    <row r="31" spans="1:17" x14ac:dyDescent="0.35">
      <c r="B31"/>
      <c r="E31"/>
      <c r="L31" s="14"/>
    </row>
    <row r="32" spans="1:17" x14ac:dyDescent="0.35">
      <c r="B32"/>
      <c r="E32"/>
      <c r="L32" s="14"/>
    </row>
    <row r="33" spans="2:12" ht="14.5" customHeight="1" x14ac:dyDescent="0.35">
      <c r="B33"/>
      <c r="E33"/>
      <c r="L33" s="14"/>
    </row>
    <row r="34" spans="2:12" ht="14.5" customHeight="1" x14ac:dyDescent="0.35">
      <c r="B34"/>
      <c r="E34"/>
      <c r="L34" s="14"/>
    </row>
    <row r="35" spans="2:12" x14ac:dyDescent="0.35">
      <c r="B35"/>
      <c r="E35"/>
      <c r="L35" s="14"/>
    </row>
    <row r="36" spans="2:12" x14ac:dyDescent="0.35">
      <c r="B36"/>
      <c r="E36"/>
      <c r="L36" s="14"/>
    </row>
    <row r="37" spans="2:12" x14ac:dyDescent="0.35">
      <c r="B37"/>
      <c r="E37"/>
      <c r="L37" s="14"/>
    </row>
    <row r="38" spans="2:12" x14ac:dyDescent="0.35">
      <c r="B38"/>
      <c r="E38"/>
      <c r="L38" s="14"/>
    </row>
    <row r="39" spans="2:12" x14ac:dyDescent="0.35">
      <c r="B39"/>
      <c r="E39"/>
      <c r="L39" s="14"/>
    </row>
    <row r="40" spans="2:12" x14ac:dyDescent="0.35">
      <c r="B40"/>
      <c r="E40"/>
      <c r="L40" s="14"/>
    </row>
    <row r="41" spans="2:12" x14ac:dyDescent="0.35">
      <c r="B41"/>
      <c r="E41"/>
      <c r="L41" s="14"/>
    </row>
    <row r="42" spans="2:12" x14ac:dyDescent="0.35">
      <c r="B42"/>
      <c r="E42"/>
      <c r="L42" s="14"/>
    </row>
    <row r="43" spans="2:12" x14ac:dyDescent="0.35">
      <c r="B43"/>
      <c r="E43"/>
      <c r="L43" s="14"/>
    </row>
    <row r="44" spans="2:12" x14ac:dyDescent="0.35">
      <c r="B44"/>
      <c r="E44"/>
      <c r="L44" s="14"/>
    </row>
    <row r="45" spans="2:12" x14ac:dyDescent="0.35">
      <c r="B45"/>
      <c r="E45"/>
      <c r="L45" s="14"/>
    </row>
    <row r="46" spans="2:12" x14ac:dyDescent="0.35">
      <c r="B46"/>
      <c r="E46"/>
      <c r="L46" s="14"/>
    </row>
    <row r="47" spans="2:12" x14ac:dyDescent="0.35">
      <c r="B47"/>
      <c r="E47"/>
      <c r="L47" s="14"/>
    </row>
    <row r="48" spans="2:12" x14ac:dyDescent="0.35">
      <c r="L48" s="14"/>
    </row>
    <row r="49" spans="12:12" x14ac:dyDescent="0.35">
      <c r="L49" s="14"/>
    </row>
    <row r="50" spans="12:12" x14ac:dyDescent="0.35">
      <c r="L50" s="14"/>
    </row>
    <row r="51" spans="12:12" x14ac:dyDescent="0.35">
      <c r="L51" s="14"/>
    </row>
    <row r="52" spans="12:12" x14ac:dyDescent="0.35">
      <c r="L52" s="14"/>
    </row>
    <row r="53" spans="12:12" x14ac:dyDescent="0.35">
      <c r="L53" s="14"/>
    </row>
    <row r="54" spans="12:12" x14ac:dyDescent="0.35">
      <c r="L54" s="14"/>
    </row>
    <row r="55" spans="12:12" x14ac:dyDescent="0.35">
      <c r="L55" s="14"/>
    </row>
    <row r="56" spans="12:12" x14ac:dyDescent="0.35">
      <c r="L56" s="14"/>
    </row>
    <row r="57" spans="12:12" x14ac:dyDescent="0.35">
      <c r="L57" s="14"/>
    </row>
    <row r="58" spans="12:12" x14ac:dyDescent="0.35">
      <c r="L58" s="14"/>
    </row>
    <row r="59" spans="12:12" x14ac:dyDescent="0.35">
      <c r="L59" s="14"/>
    </row>
    <row r="60" spans="12:12" x14ac:dyDescent="0.35">
      <c r="L60" s="14"/>
    </row>
    <row r="61" spans="12:12" x14ac:dyDescent="0.35">
      <c r="L61" s="14"/>
    </row>
    <row r="62" spans="12:12" x14ac:dyDescent="0.35">
      <c r="L62" s="14"/>
    </row>
    <row r="63" spans="12:12" x14ac:dyDescent="0.35">
      <c r="L63" s="14"/>
    </row>
    <row r="64" spans="12:12" x14ac:dyDescent="0.35">
      <c r="L64" s="14"/>
    </row>
    <row r="65" spans="12:12" x14ac:dyDescent="0.35">
      <c r="L65" s="14"/>
    </row>
    <row r="66" spans="12:12" x14ac:dyDescent="0.35">
      <c r="L66" s="14"/>
    </row>
    <row r="67" spans="12:12" x14ac:dyDescent="0.35">
      <c r="L67" s="14"/>
    </row>
    <row r="68" spans="12:12" x14ac:dyDescent="0.35">
      <c r="L68" s="14"/>
    </row>
    <row r="69" spans="12:12" x14ac:dyDescent="0.35">
      <c r="L69" s="14"/>
    </row>
    <row r="70" spans="12:12" x14ac:dyDescent="0.35">
      <c r="L70" s="14"/>
    </row>
    <row r="71" spans="12:12" x14ac:dyDescent="0.35">
      <c r="L71" s="14"/>
    </row>
    <row r="72" spans="12:12" x14ac:dyDescent="0.35">
      <c r="L72" s="14"/>
    </row>
    <row r="73" spans="12:12" x14ac:dyDescent="0.35">
      <c r="L73" s="14"/>
    </row>
    <row r="74" spans="12:12" x14ac:dyDescent="0.35">
      <c r="L74" s="14"/>
    </row>
    <row r="75" spans="12:12" x14ac:dyDescent="0.35">
      <c r="L75" s="14"/>
    </row>
    <row r="76" spans="12:12" x14ac:dyDescent="0.35">
      <c r="L76" s="14"/>
    </row>
    <row r="77" spans="12:12" x14ac:dyDescent="0.35">
      <c r="L77" s="14"/>
    </row>
    <row r="78" spans="12:12" x14ac:dyDescent="0.35">
      <c r="L78" s="14"/>
    </row>
    <row r="79" spans="12:12" x14ac:dyDescent="0.35">
      <c r="L79" s="14"/>
    </row>
    <row r="80" spans="12:12" x14ac:dyDescent="0.35">
      <c r="L80" s="14"/>
    </row>
    <row r="81" spans="12:12" x14ac:dyDescent="0.35">
      <c r="L81" s="14"/>
    </row>
    <row r="82" spans="12:12" x14ac:dyDescent="0.35">
      <c r="L82" s="14"/>
    </row>
    <row r="83" spans="12:12" x14ac:dyDescent="0.35">
      <c r="L83" s="14"/>
    </row>
    <row r="84" spans="12:12" x14ac:dyDescent="0.35">
      <c r="L84" s="14"/>
    </row>
    <row r="85" spans="12:12" x14ac:dyDescent="0.35">
      <c r="L85" s="14"/>
    </row>
    <row r="86" spans="12:12" x14ac:dyDescent="0.35">
      <c r="L86" s="14"/>
    </row>
    <row r="87" spans="12:12" x14ac:dyDescent="0.35">
      <c r="L87" s="14"/>
    </row>
    <row r="88" spans="12:12" x14ac:dyDescent="0.35">
      <c r="L88" s="14"/>
    </row>
    <row r="89" spans="12:12" x14ac:dyDescent="0.35">
      <c r="L89" s="14"/>
    </row>
    <row r="90" spans="12:12" x14ac:dyDescent="0.35">
      <c r="L90" s="14"/>
    </row>
    <row r="91" spans="12:12" x14ac:dyDescent="0.35">
      <c r="L91" s="14"/>
    </row>
    <row r="92" spans="12:12" x14ac:dyDescent="0.35">
      <c r="L92" s="14"/>
    </row>
    <row r="93" spans="12:12" x14ac:dyDescent="0.35">
      <c r="L93" s="14"/>
    </row>
    <row r="94" spans="12:12" x14ac:dyDescent="0.35">
      <c r="L94" s="14"/>
    </row>
    <row r="95" spans="12:12" x14ac:dyDescent="0.35">
      <c r="L95" s="14"/>
    </row>
    <row r="96" spans="12:12" x14ac:dyDescent="0.35">
      <c r="L96" s="14"/>
    </row>
    <row r="97" spans="12:12" x14ac:dyDescent="0.35">
      <c r="L97" s="14"/>
    </row>
    <row r="98" spans="12:12" x14ac:dyDescent="0.35">
      <c r="L98" s="14"/>
    </row>
    <row r="99" spans="12:12" x14ac:dyDescent="0.35">
      <c r="L99" s="14"/>
    </row>
    <row r="100" spans="12:12" x14ac:dyDescent="0.35">
      <c r="L100" s="14"/>
    </row>
    <row r="101" spans="12:12" x14ac:dyDescent="0.35">
      <c r="L101" s="14"/>
    </row>
    <row r="102" spans="12:12" x14ac:dyDescent="0.35">
      <c r="L102" s="14"/>
    </row>
    <row r="103" spans="12:12" x14ac:dyDescent="0.35">
      <c r="L103" s="14"/>
    </row>
    <row r="104" spans="12:12" x14ac:dyDescent="0.35">
      <c r="L104" s="14"/>
    </row>
    <row r="105" spans="12:12" x14ac:dyDescent="0.35">
      <c r="L105" s="14"/>
    </row>
    <row r="106" spans="12:12" x14ac:dyDescent="0.35">
      <c r="L106" s="14"/>
    </row>
    <row r="107" spans="12:12" x14ac:dyDescent="0.35">
      <c r="L107" s="14"/>
    </row>
    <row r="108" spans="12:12" ht="14.5" customHeight="1" x14ac:dyDescent="0.35">
      <c r="L108" s="14"/>
    </row>
    <row r="109" spans="12:12" ht="14.5" customHeight="1" x14ac:dyDescent="0.35">
      <c r="L109" s="14"/>
    </row>
  </sheetData>
  <mergeCells count="10">
    <mergeCell ref="H22:J22"/>
    <mergeCell ref="K22:M22"/>
    <mergeCell ref="N22:P22"/>
    <mergeCell ref="A12:D12"/>
    <mergeCell ref="E12:G12"/>
    <mergeCell ref="H12:J12"/>
    <mergeCell ref="K12:M12"/>
    <mergeCell ref="N12:P12"/>
    <mergeCell ref="F22:G22"/>
    <mergeCell ref="D22:E22"/>
  </mergeCells>
  <phoneticPr fontId="10" type="noConversion"/>
  <pageMargins left="0.7" right="0.7" top="0.75" bottom="0.75" header="0.3" footer="0.3"/>
  <pageSetup orientation="portrait" verticalDpi="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52107-162B-439F-99B9-B6512DB91110}">
  <sheetPr codeName="Sheet10"/>
  <dimension ref="A1:N123"/>
  <sheetViews>
    <sheetView topLeftCell="A2" zoomScale="70" zoomScaleNormal="70" workbookViewId="0">
      <selection activeCell="J14" sqref="J14:K93"/>
    </sheetView>
  </sheetViews>
  <sheetFormatPr defaultRowHeight="14.5" x14ac:dyDescent="0.35"/>
  <cols>
    <col min="1" max="1" width="20.81640625" bestFit="1" customWidth="1"/>
    <col min="2" max="2" width="21.453125" style="32" bestFit="1" customWidth="1"/>
    <col min="3" max="3" width="140.26953125" customWidth="1"/>
    <col min="4" max="4" width="10" bestFit="1" customWidth="1"/>
    <col min="5" max="5" width="25.54296875" style="6" bestFit="1" customWidth="1"/>
    <col min="6" max="6" width="15" bestFit="1" customWidth="1"/>
    <col min="7" max="7" width="20.81640625" bestFit="1" customWidth="1"/>
    <col min="8" max="8" width="16" bestFit="1" customWidth="1"/>
    <col min="9" max="9" width="22" bestFit="1" customWidth="1"/>
    <col min="10" max="10" width="16" bestFit="1" customWidth="1"/>
    <col min="11" max="11" width="22" bestFit="1" customWidth="1"/>
    <col min="12" max="12" width="16" hidden="1" customWidth="1"/>
    <col min="13" max="13" width="22" hidden="1" customWidth="1"/>
  </cols>
  <sheetData>
    <row r="1" spans="1:14" x14ac:dyDescent="0.35">
      <c r="A1" s="14"/>
      <c r="B1" s="29"/>
      <c r="C1" s="14"/>
      <c r="D1" s="14"/>
      <c r="E1" s="16"/>
      <c r="F1" s="14"/>
      <c r="G1" s="14"/>
      <c r="H1" s="14"/>
      <c r="I1" s="14"/>
      <c r="J1" s="14"/>
      <c r="K1" s="14"/>
      <c r="L1" s="14"/>
      <c r="M1" s="14"/>
      <c r="N1" s="14"/>
    </row>
    <row r="2" spans="1:14" x14ac:dyDescent="0.35">
      <c r="A2" s="14"/>
      <c r="B2" s="29"/>
      <c r="C2" s="14"/>
      <c r="D2" s="14"/>
      <c r="E2" s="16"/>
      <c r="F2" s="14"/>
      <c r="G2" s="14"/>
      <c r="H2" s="14"/>
      <c r="I2" s="14"/>
      <c r="J2" s="14"/>
      <c r="K2" s="14"/>
      <c r="L2" s="14"/>
      <c r="M2" s="14"/>
      <c r="N2" s="14"/>
    </row>
    <row r="3" spans="1:14" ht="15.5" x14ac:dyDescent="0.35">
      <c r="A3" s="15" t="s">
        <v>0</v>
      </c>
      <c r="B3" s="29" t="s">
        <v>244</v>
      </c>
      <c r="C3" s="14"/>
      <c r="D3" s="15"/>
      <c r="E3" s="16"/>
      <c r="F3" s="14"/>
      <c r="G3" s="14"/>
      <c r="H3" s="14"/>
      <c r="I3" s="14"/>
      <c r="J3" s="14"/>
      <c r="K3" s="14"/>
      <c r="L3" s="14"/>
      <c r="M3" s="14"/>
      <c r="N3" s="14"/>
    </row>
    <row r="4" spans="1:14" ht="15.5" x14ac:dyDescent="0.35">
      <c r="A4" s="15" t="s">
        <v>2</v>
      </c>
      <c r="B4" s="29" t="str">
        <f>VLOOKUP($B$3,DATA!$A$2:$E$80,3)</f>
        <v>Jackson</v>
      </c>
      <c r="C4" s="14"/>
      <c r="D4" s="15"/>
      <c r="E4" s="16"/>
      <c r="F4" s="14"/>
      <c r="G4" s="14"/>
      <c r="H4" s="14"/>
      <c r="I4" s="14"/>
      <c r="J4" s="14"/>
      <c r="K4" s="14"/>
      <c r="L4" s="14"/>
      <c r="M4" s="14"/>
      <c r="N4" s="14"/>
    </row>
    <row r="5" spans="1:14" ht="15.5" x14ac:dyDescent="0.35">
      <c r="A5" s="15" t="s">
        <v>3</v>
      </c>
      <c r="B5" s="29" t="str">
        <f>VLOOKUP($B$3,DATA!$A$2:$E$80,4)</f>
        <v>McKellar-Sipes Regional</v>
      </c>
      <c r="C5" s="14"/>
      <c r="D5" s="15"/>
      <c r="E5" s="16"/>
      <c r="F5" s="14"/>
      <c r="G5" s="14"/>
      <c r="H5" s="14"/>
      <c r="I5" s="14"/>
      <c r="J5" s="14"/>
      <c r="K5" s="14"/>
      <c r="L5" s="14"/>
      <c r="M5" s="14"/>
      <c r="N5" s="14"/>
    </row>
    <row r="6" spans="1:14" ht="15.5" x14ac:dyDescent="0.35">
      <c r="A6" s="15" t="s">
        <v>4</v>
      </c>
      <c r="B6" s="29" t="s">
        <v>366</v>
      </c>
      <c r="C6" s="14"/>
      <c r="D6" s="15"/>
      <c r="E6" s="16"/>
      <c r="F6" s="14"/>
      <c r="G6" s="14"/>
      <c r="H6" s="14"/>
      <c r="I6" s="14"/>
      <c r="J6" s="14"/>
      <c r="K6" s="14"/>
      <c r="L6" s="14"/>
      <c r="M6" s="14"/>
      <c r="N6" s="14"/>
    </row>
    <row r="7" spans="1:14" ht="15.5" x14ac:dyDescent="0.35">
      <c r="A7" s="15" t="s">
        <v>6</v>
      </c>
      <c r="B7" s="100" t="s">
        <v>367</v>
      </c>
      <c r="C7" s="14"/>
      <c r="D7" s="15"/>
      <c r="E7" s="16"/>
      <c r="F7" s="14"/>
      <c r="G7" s="14"/>
      <c r="H7" s="14"/>
      <c r="I7" s="14"/>
      <c r="J7" s="14"/>
      <c r="K7" s="14"/>
      <c r="L7" s="14"/>
      <c r="M7" s="14"/>
      <c r="N7" s="14"/>
    </row>
    <row r="8" spans="1:14" ht="15.5" x14ac:dyDescent="0.35">
      <c r="A8" s="15" t="s">
        <v>8</v>
      </c>
      <c r="B8" s="30">
        <v>45070</v>
      </c>
      <c r="C8" s="14"/>
      <c r="D8" s="15"/>
      <c r="E8" s="33"/>
      <c r="F8" s="14"/>
      <c r="G8" s="14"/>
      <c r="H8" s="14"/>
      <c r="I8" s="14"/>
      <c r="J8" s="14"/>
      <c r="K8" s="14"/>
      <c r="L8" s="14"/>
      <c r="M8" s="14"/>
      <c r="N8" s="14"/>
    </row>
    <row r="9" spans="1:14" ht="15.5" x14ac:dyDescent="0.35">
      <c r="A9" s="15" t="s">
        <v>9</v>
      </c>
      <c r="B9" s="29" t="str">
        <f>VLOOKUP($B$3,DATA!$A$2:$E$80,2)</f>
        <v>Madison</v>
      </c>
      <c r="C9" s="14"/>
      <c r="D9" s="15"/>
      <c r="E9" s="16"/>
      <c r="F9" s="14"/>
      <c r="G9" s="14"/>
      <c r="H9" s="14"/>
      <c r="I9" s="14"/>
      <c r="J9" s="14"/>
      <c r="K9" s="14"/>
      <c r="L9" s="14"/>
      <c r="M9" s="14"/>
      <c r="N9" s="14"/>
    </row>
    <row r="10" spans="1:14" ht="15.5" x14ac:dyDescent="0.35">
      <c r="A10" s="15" t="s">
        <v>10</v>
      </c>
      <c r="B10" s="29" t="str">
        <f>VLOOKUP($B$3,DATA!$A$2:$E$80,5)</f>
        <v>West</v>
      </c>
      <c r="C10" s="14"/>
      <c r="D10" s="15"/>
      <c r="E10" s="16"/>
      <c r="F10" s="14"/>
      <c r="G10" s="14"/>
      <c r="H10" s="14"/>
      <c r="I10" s="14"/>
      <c r="J10" s="14"/>
      <c r="K10" s="14"/>
      <c r="L10" s="14"/>
      <c r="M10" s="14"/>
      <c r="N10" s="14"/>
    </row>
    <row r="11" spans="1:14" ht="16" thickBot="1" x14ac:dyDescent="0.4">
      <c r="A11" s="15"/>
      <c r="B11" s="29"/>
      <c r="C11" s="14"/>
      <c r="D11" s="15"/>
      <c r="E11" s="16"/>
      <c r="F11" s="14"/>
      <c r="G11" s="14"/>
      <c r="H11" s="14"/>
      <c r="I11" s="14"/>
      <c r="J11" s="14"/>
      <c r="K11" s="14"/>
      <c r="L11" s="14"/>
      <c r="M11" s="14"/>
      <c r="N11" s="14"/>
    </row>
    <row r="12" spans="1:14" ht="16" thickBot="1" x14ac:dyDescent="0.4">
      <c r="A12" s="173" t="s">
        <v>757</v>
      </c>
      <c r="B12" s="174"/>
      <c r="C12" s="174"/>
      <c r="D12" s="174"/>
      <c r="E12" s="175"/>
      <c r="F12" s="173" t="s">
        <v>12</v>
      </c>
      <c r="G12" s="175"/>
      <c r="H12" s="173" t="s">
        <v>758</v>
      </c>
      <c r="I12" s="175"/>
      <c r="J12" s="173" t="s">
        <v>759</v>
      </c>
      <c r="K12" s="175"/>
      <c r="L12" s="173" t="s">
        <v>760</v>
      </c>
      <c r="M12" s="175"/>
      <c r="N12" s="14"/>
    </row>
    <row r="13" spans="1:14" x14ac:dyDescent="0.35">
      <c r="A13" s="16" t="s">
        <v>15</v>
      </c>
      <c r="B13" s="23" t="s">
        <v>396</v>
      </c>
      <c r="C13" s="16" t="s">
        <v>17</v>
      </c>
      <c r="D13" s="16" t="s">
        <v>18</v>
      </c>
      <c r="E13" s="16" t="s">
        <v>19</v>
      </c>
      <c r="F13" s="16" t="s">
        <v>20</v>
      </c>
      <c r="G13" s="16" t="s">
        <v>21</v>
      </c>
      <c r="H13" s="16" t="s">
        <v>22</v>
      </c>
      <c r="I13" s="16" t="s">
        <v>23</v>
      </c>
      <c r="J13" s="16" t="s">
        <v>24</v>
      </c>
      <c r="K13" s="16" t="s">
        <v>25</v>
      </c>
      <c r="L13" s="16" t="s">
        <v>581</v>
      </c>
      <c r="M13" s="16" t="s">
        <v>582</v>
      </c>
      <c r="N13" s="14"/>
    </row>
    <row r="14" spans="1:14" x14ac:dyDescent="0.35">
      <c r="A14" s="46">
        <v>1</v>
      </c>
      <c r="B14" s="23" t="s">
        <v>754</v>
      </c>
      <c r="C14" s="24" t="s">
        <v>761</v>
      </c>
      <c r="D14" s="63" t="s">
        <v>28</v>
      </c>
      <c r="E14" s="46">
        <v>1</v>
      </c>
      <c r="F14" s="78">
        <v>55000</v>
      </c>
      <c r="G14" s="78">
        <v>55000</v>
      </c>
      <c r="H14" s="78">
        <v>150000</v>
      </c>
      <c r="I14" s="78">
        <v>150000</v>
      </c>
      <c r="J14" s="78">
        <v>25000</v>
      </c>
      <c r="K14" s="78">
        <v>25000</v>
      </c>
      <c r="L14" s="26"/>
      <c r="M14" s="26"/>
      <c r="N14" s="14"/>
    </row>
    <row r="15" spans="1:14" x14ac:dyDescent="0.35">
      <c r="A15" s="46">
        <v>2</v>
      </c>
      <c r="B15" s="23" t="s">
        <v>754</v>
      </c>
      <c r="C15" s="24" t="s">
        <v>762</v>
      </c>
      <c r="D15" s="68" t="s">
        <v>28</v>
      </c>
      <c r="E15" s="46">
        <v>1</v>
      </c>
      <c r="F15" s="78">
        <v>55000</v>
      </c>
      <c r="G15" s="78">
        <v>55000</v>
      </c>
      <c r="H15" s="78">
        <v>175000</v>
      </c>
      <c r="I15" s="78">
        <v>175000</v>
      </c>
      <c r="J15" s="78">
        <v>172000</v>
      </c>
      <c r="K15" s="78">
        <v>172000</v>
      </c>
      <c r="L15" s="26"/>
      <c r="M15" s="26"/>
      <c r="N15" s="14"/>
    </row>
    <row r="16" spans="1:14" x14ac:dyDescent="0.35">
      <c r="A16" s="46">
        <v>3</v>
      </c>
      <c r="B16" s="23" t="s">
        <v>754</v>
      </c>
      <c r="C16" s="24" t="s">
        <v>763</v>
      </c>
      <c r="D16" s="63" t="s">
        <v>28</v>
      </c>
      <c r="E16" s="46">
        <v>1</v>
      </c>
      <c r="F16" s="78">
        <v>11000</v>
      </c>
      <c r="G16" s="78">
        <v>11000</v>
      </c>
      <c r="H16" s="78">
        <v>130000</v>
      </c>
      <c r="I16" s="78">
        <v>130000</v>
      </c>
      <c r="J16" s="78">
        <v>67500</v>
      </c>
      <c r="K16" s="78">
        <v>67500</v>
      </c>
      <c r="L16" s="26"/>
      <c r="M16" s="26"/>
      <c r="N16" s="14"/>
    </row>
    <row r="17" spans="1:14" x14ac:dyDescent="0.35">
      <c r="A17" s="46">
        <v>4</v>
      </c>
      <c r="B17" s="23" t="s">
        <v>525</v>
      </c>
      <c r="C17" s="24" t="s">
        <v>764</v>
      </c>
      <c r="D17" s="68" t="s">
        <v>28</v>
      </c>
      <c r="E17" s="46">
        <v>1</v>
      </c>
      <c r="F17" s="78">
        <v>330000</v>
      </c>
      <c r="G17" s="78">
        <v>330000</v>
      </c>
      <c r="H17" s="78">
        <v>300000</v>
      </c>
      <c r="I17" s="78">
        <v>300000</v>
      </c>
      <c r="J17" s="78">
        <v>569000</v>
      </c>
      <c r="K17" s="78">
        <v>569000</v>
      </c>
      <c r="L17" s="26"/>
      <c r="M17" s="26"/>
      <c r="N17" s="14"/>
    </row>
    <row r="18" spans="1:14" x14ac:dyDescent="0.35">
      <c r="A18" s="46">
        <v>5</v>
      </c>
      <c r="B18" s="23" t="s">
        <v>476</v>
      </c>
      <c r="C18" s="24" t="s">
        <v>765</v>
      </c>
      <c r="D18" s="63" t="s">
        <v>407</v>
      </c>
      <c r="E18" s="48">
        <v>12000</v>
      </c>
      <c r="F18" s="77">
        <v>5.5</v>
      </c>
      <c r="G18" s="78">
        <v>66000</v>
      </c>
      <c r="H18" s="77">
        <v>4.59</v>
      </c>
      <c r="I18" s="78">
        <v>55080</v>
      </c>
      <c r="J18" s="77">
        <v>4.25</v>
      </c>
      <c r="K18" s="78">
        <v>51000</v>
      </c>
      <c r="L18" s="26"/>
      <c r="M18" s="26"/>
      <c r="N18" s="14"/>
    </row>
    <row r="19" spans="1:14" x14ac:dyDescent="0.35">
      <c r="A19" s="46">
        <v>6</v>
      </c>
      <c r="B19" s="23" t="s">
        <v>479</v>
      </c>
      <c r="C19" s="24" t="s">
        <v>766</v>
      </c>
      <c r="D19" s="68" t="s">
        <v>478</v>
      </c>
      <c r="E19" s="46">
        <v>42</v>
      </c>
      <c r="F19" s="77">
        <v>825</v>
      </c>
      <c r="G19" s="78">
        <v>34650</v>
      </c>
      <c r="H19" s="78">
        <v>1200</v>
      </c>
      <c r="I19" s="78">
        <v>50400</v>
      </c>
      <c r="J19" s="78">
        <v>1500</v>
      </c>
      <c r="K19" s="78">
        <v>63000</v>
      </c>
      <c r="L19" s="26"/>
      <c r="M19" s="26"/>
      <c r="N19" s="14"/>
    </row>
    <row r="20" spans="1:14" x14ac:dyDescent="0.35">
      <c r="A20" s="46">
        <v>7</v>
      </c>
      <c r="B20" s="23" t="s">
        <v>481</v>
      </c>
      <c r="C20" s="24" t="s">
        <v>767</v>
      </c>
      <c r="D20" s="63" t="s">
        <v>478</v>
      </c>
      <c r="E20" s="46">
        <v>2</v>
      </c>
      <c r="F20" s="78">
        <v>11000</v>
      </c>
      <c r="G20" s="78">
        <v>22000</v>
      </c>
      <c r="H20" s="78">
        <v>1240.25</v>
      </c>
      <c r="I20" s="78">
        <v>2480.5</v>
      </c>
      <c r="J20" s="78">
        <v>6000</v>
      </c>
      <c r="K20" s="78">
        <v>12000</v>
      </c>
      <c r="L20" s="26"/>
      <c r="M20" s="26"/>
      <c r="N20" s="14"/>
    </row>
    <row r="21" spans="1:14" x14ac:dyDescent="0.35">
      <c r="A21" s="46">
        <v>8</v>
      </c>
      <c r="B21" s="23" t="s">
        <v>768</v>
      </c>
      <c r="C21" s="24" t="s">
        <v>769</v>
      </c>
      <c r="D21" s="68" t="s">
        <v>478</v>
      </c>
      <c r="E21" s="46">
        <v>17</v>
      </c>
      <c r="F21" s="77">
        <v>715</v>
      </c>
      <c r="G21" s="78">
        <v>12155</v>
      </c>
      <c r="H21" s="77">
        <v>486</v>
      </c>
      <c r="I21" s="78">
        <v>8262</v>
      </c>
      <c r="J21" s="77">
        <v>450</v>
      </c>
      <c r="K21" s="78">
        <v>7650</v>
      </c>
      <c r="L21" s="26"/>
      <c r="M21" s="26"/>
      <c r="N21" s="14"/>
    </row>
    <row r="22" spans="1:14" x14ac:dyDescent="0.35">
      <c r="A22" s="46">
        <v>9</v>
      </c>
      <c r="B22" s="23" t="s">
        <v>770</v>
      </c>
      <c r="C22" s="24" t="s">
        <v>771</v>
      </c>
      <c r="D22" s="63" t="s">
        <v>478</v>
      </c>
      <c r="E22" s="46">
        <v>3</v>
      </c>
      <c r="F22" s="78">
        <v>90000</v>
      </c>
      <c r="G22" s="78">
        <v>270000</v>
      </c>
      <c r="H22" s="78">
        <v>48124.800000000003</v>
      </c>
      <c r="I22" s="78">
        <v>144374.39999999999</v>
      </c>
      <c r="J22" s="78">
        <v>130000</v>
      </c>
      <c r="K22" s="78">
        <v>390000</v>
      </c>
      <c r="L22" s="26"/>
      <c r="M22" s="26"/>
      <c r="N22" s="14"/>
    </row>
    <row r="23" spans="1:14" x14ac:dyDescent="0.35">
      <c r="A23" s="46">
        <v>10</v>
      </c>
      <c r="B23" s="23" t="s">
        <v>770</v>
      </c>
      <c r="C23" s="24" t="s">
        <v>772</v>
      </c>
      <c r="D23" s="68" t="s">
        <v>407</v>
      </c>
      <c r="E23" s="48">
        <v>2500</v>
      </c>
      <c r="F23" s="77">
        <v>15</v>
      </c>
      <c r="G23" s="78">
        <v>37500</v>
      </c>
      <c r="H23" s="77">
        <v>40.119999999999997</v>
      </c>
      <c r="I23" s="78">
        <v>100300</v>
      </c>
      <c r="J23" s="77">
        <v>5</v>
      </c>
      <c r="K23" s="78">
        <v>12500</v>
      </c>
      <c r="L23" s="26"/>
      <c r="M23" s="26"/>
      <c r="N23" s="14"/>
    </row>
    <row r="24" spans="1:14" x14ac:dyDescent="0.35">
      <c r="A24" s="46">
        <v>11</v>
      </c>
      <c r="B24" s="23" t="s">
        <v>483</v>
      </c>
      <c r="C24" s="24" t="s">
        <v>484</v>
      </c>
      <c r="D24" s="63" t="s">
        <v>28</v>
      </c>
      <c r="E24" s="46">
        <v>1</v>
      </c>
      <c r="F24" s="78">
        <v>990000</v>
      </c>
      <c r="G24" s="78">
        <v>990000</v>
      </c>
      <c r="H24" s="78">
        <v>2038025</v>
      </c>
      <c r="I24" s="78">
        <v>2038025</v>
      </c>
      <c r="J24" s="78">
        <v>2241647</v>
      </c>
      <c r="K24" s="78">
        <v>2241647</v>
      </c>
      <c r="L24" s="26"/>
      <c r="M24" s="26"/>
      <c r="N24" s="14"/>
    </row>
    <row r="25" spans="1:14" x14ac:dyDescent="0.35">
      <c r="A25" s="46">
        <v>12</v>
      </c>
      <c r="B25" s="23" t="s">
        <v>773</v>
      </c>
      <c r="C25" s="24" t="s">
        <v>774</v>
      </c>
      <c r="D25" s="68" t="s">
        <v>412</v>
      </c>
      <c r="E25" s="48">
        <v>123000</v>
      </c>
      <c r="F25" s="77">
        <v>13.2</v>
      </c>
      <c r="G25" s="78">
        <v>1623600</v>
      </c>
      <c r="H25" s="77">
        <v>18</v>
      </c>
      <c r="I25" s="78">
        <v>2214000</v>
      </c>
      <c r="J25" s="77">
        <v>23.55</v>
      </c>
      <c r="K25" s="78">
        <v>2896650</v>
      </c>
      <c r="L25" s="26"/>
      <c r="M25" s="26"/>
      <c r="N25" s="14"/>
    </row>
    <row r="26" spans="1:14" x14ac:dyDescent="0.35">
      <c r="A26" s="46">
        <v>13</v>
      </c>
      <c r="B26" s="23" t="s">
        <v>502</v>
      </c>
      <c r="C26" s="24" t="s">
        <v>427</v>
      </c>
      <c r="D26" s="63" t="s">
        <v>428</v>
      </c>
      <c r="E26" s="48">
        <v>90000</v>
      </c>
      <c r="F26" s="77">
        <v>19.8</v>
      </c>
      <c r="G26" s="78">
        <v>1782000</v>
      </c>
      <c r="H26" s="77">
        <v>23.5</v>
      </c>
      <c r="I26" s="78">
        <v>2115000</v>
      </c>
      <c r="J26" s="77">
        <v>17</v>
      </c>
      <c r="K26" s="78">
        <v>1530000</v>
      </c>
      <c r="L26" s="26"/>
      <c r="M26" s="26"/>
      <c r="N26" s="14"/>
    </row>
    <row r="27" spans="1:14" x14ac:dyDescent="0.35">
      <c r="A27" s="46">
        <v>14</v>
      </c>
      <c r="B27" s="23" t="s">
        <v>775</v>
      </c>
      <c r="C27" s="24" t="s">
        <v>776</v>
      </c>
      <c r="D27" s="68" t="s">
        <v>428</v>
      </c>
      <c r="E27" s="48">
        <v>80000</v>
      </c>
      <c r="F27" s="77">
        <v>19.8</v>
      </c>
      <c r="G27" s="78">
        <v>1584000</v>
      </c>
      <c r="H27" s="77">
        <v>14.85</v>
      </c>
      <c r="I27" s="78">
        <v>1188000</v>
      </c>
      <c r="J27" s="77">
        <v>13</v>
      </c>
      <c r="K27" s="78">
        <v>1040000</v>
      </c>
      <c r="L27" s="26"/>
      <c r="M27" s="26"/>
      <c r="N27" s="14"/>
    </row>
    <row r="28" spans="1:14" x14ac:dyDescent="0.35">
      <c r="A28" s="46">
        <v>15</v>
      </c>
      <c r="B28" s="23" t="s">
        <v>777</v>
      </c>
      <c r="C28" s="24" t="s">
        <v>778</v>
      </c>
      <c r="D28" s="63" t="s">
        <v>428</v>
      </c>
      <c r="E28" s="48">
        <v>80000</v>
      </c>
      <c r="F28" s="77">
        <v>24.2</v>
      </c>
      <c r="G28" s="78">
        <v>1936000</v>
      </c>
      <c r="H28" s="77">
        <v>16.739999999999998</v>
      </c>
      <c r="I28" s="78">
        <v>1339200</v>
      </c>
      <c r="J28" s="77">
        <v>7</v>
      </c>
      <c r="K28" s="78">
        <v>560000</v>
      </c>
      <c r="L28" s="26"/>
      <c r="M28" s="26"/>
      <c r="N28" s="14"/>
    </row>
    <row r="29" spans="1:14" x14ac:dyDescent="0.35">
      <c r="A29" s="46">
        <v>16</v>
      </c>
      <c r="B29" s="23" t="s">
        <v>779</v>
      </c>
      <c r="C29" s="24" t="s">
        <v>780</v>
      </c>
      <c r="D29" s="68" t="s">
        <v>412</v>
      </c>
      <c r="E29" s="48">
        <v>85000</v>
      </c>
      <c r="F29" s="77">
        <v>27.5</v>
      </c>
      <c r="G29" s="78">
        <v>2337500</v>
      </c>
      <c r="H29" s="77">
        <v>17.82</v>
      </c>
      <c r="I29" s="78">
        <v>1514700</v>
      </c>
      <c r="J29" s="77">
        <v>13.5</v>
      </c>
      <c r="K29" s="78">
        <v>1147500</v>
      </c>
      <c r="L29" s="26"/>
      <c r="M29" s="26"/>
      <c r="N29" s="14"/>
    </row>
    <row r="30" spans="1:14" x14ac:dyDescent="0.35">
      <c r="A30" s="46">
        <v>17</v>
      </c>
      <c r="B30" s="23" t="s">
        <v>781</v>
      </c>
      <c r="C30" s="24" t="s">
        <v>782</v>
      </c>
      <c r="D30" s="63" t="s">
        <v>566</v>
      </c>
      <c r="E30" s="48">
        <v>8000</v>
      </c>
      <c r="F30" s="77">
        <v>181.5</v>
      </c>
      <c r="G30" s="78">
        <v>1452000</v>
      </c>
      <c r="H30" s="77">
        <v>180</v>
      </c>
      <c r="I30" s="78">
        <v>1440000</v>
      </c>
      <c r="J30" s="77">
        <v>229</v>
      </c>
      <c r="K30" s="78">
        <v>1832000</v>
      </c>
      <c r="L30" s="26"/>
      <c r="M30" s="26"/>
      <c r="N30" s="14"/>
    </row>
    <row r="31" spans="1:14" x14ac:dyDescent="0.35">
      <c r="A31" s="46">
        <v>18</v>
      </c>
      <c r="B31" s="23" t="s">
        <v>783</v>
      </c>
      <c r="C31" s="24" t="s">
        <v>784</v>
      </c>
      <c r="D31" s="68" t="s">
        <v>566</v>
      </c>
      <c r="E31" s="48">
        <v>13200</v>
      </c>
      <c r="F31" s="77">
        <v>165</v>
      </c>
      <c r="G31" s="78">
        <v>2178000</v>
      </c>
      <c r="H31" s="77">
        <v>140</v>
      </c>
      <c r="I31" s="78">
        <v>1848000</v>
      </c>
      <c r="J31" s="77">
        <v>215</v>
      </c>
      <c r="K31" s="78">
        <v>2838000</v>
      </c>
      <c r="L31" s="26"/>
      <c r="M31" s="26"/>
      <c r="N31" s="14"/>
    </row>
    <row r="32" spans="1:14" x14ac:dyDescent="0.35">
      <c r="A32" s="46">
        <v>19</v>
      </c>
      <c r="B32" s="23" t="s">
        <v>785</v>
      </c>
      <c r="C32" s="24" t="s">
        <v>786</v>
      </c>
      <c r="D32" s="63" t="s">
        <v>566</v>
      </c>
      <c r="E32" s="46">
        <v>745</v>
      </c>
      <c r="F32" s="77">
        <v>181.5</v>
      </c>
      <c r="G32" s="78">
        <v>135217.5</v>
      </c>
      <c r="H32" s="77">
        <v>220</v>
      </c>
      <c r="I32" s="78">
        <v>163900</v>
      </c>
      <c r="J32" s="77">
        <v>229</v>
      </c>
      <c r="K32" s="78">
        <v>170605</v>
      </c>
      <c r="L32" s="26"/>
      <c r="M32" s="26"/>
      <c r="N32" s="14"/>
    </row>
    <row r="33" spans="1:14" x14ac:dyDescent="0.35">
      <c r="A33" s="46">
        <v>20</v>
      </c>
      <c r="B33" s="23" t="s">
        <v>787</v>
      </c>
      <c r="C33" s="24" t="s">
        <v>788</v>
      </c>
      <c r="D33" s="68" t="s">
        <v>412</v>
      </c>
      <c r="E33" s="48">
        <v>85000</v>
      </c>
      <c r="F33" s="77">
        <v>19.25</v>
      </c>
      <c r="G33" s="78">
        <v>1636250</v>
      </c>
      <c r="H33" s="77">
        <v>24</v>
      </c>
      <c r="I33" s="78">
        <v>2040000</v>
      </c>
      <c r="J33" s="77">
        <v>44.12</v>
      </c>
      <c r="K33" s="78">
        <v>3750200</v>
      </c>
      <c r="L33" s="26"/>
      <c r="M33" s="26"/>
      <c r="N33" s="14"/>
    </row>
    <row r="34" spans="1:14" x14ac:dyDescent="0.35">
      <c r="A34" s="46">
        <v>21</v>
      </c>
      <c r="B34" s="23" t="s">
        <v>789</v>
      </c>
      <c r="C34" s="24" t="s">
        <v>790</v>
      </c>
      <c r="D34" s="63" t="s">
        <v>446</v>
      </c>
      <c r="E34" s="48">
        <v>25500</v>
      </c>
      <c r="F34" s="77">
        <v>5.5</v>
      </c>
      <c r="G34" s="78">
        <v>140250</v>
      </c>
      <c r="H34" s="77">
        <v>6</v>
      </c>
      <c r="I34" s="78">
        <v>153000</v>
      </c>
      <c r="J34" s="77">
        <v>6</v>
      </c>
      <c r="K34" s="78">
        <v>153000</v>
      </c>
      <c r="L34" s="26"/>
      <c r="M34" s="26"/>
      <c r="N34" s="14"/>
    </row>
    <row r="35" spans="1:14" x14ac:dyDescent="0.35">
      <c r="A35" s="46">
        <v>22</v>
      </c>
      <c r="B35" s="23" t="s">
        <v>791</v>
      </c>
      <c r="C35" s="24" t="s">
        <v>792</v>
      </c>
      <c r="D35" s="68" t="s">
        <v>446</v>
      </c>
      <c r="E35" s="48">
        <v>17800</v>
      </c>
      <c r="F35" s="77">
        <v>6.6</v>
      </c>
      <c r="G35" s="78">
        <v>117480</v>
      </c>
      <c r="H35" s="77">
        <v>6</v>
      </c>
      <c r="I35" s="78">
        <v>106800</v>
      </c>
      <c r="J35" s="77">
        <v>8</v>
      </c>
      <c r="K35" s="78">
        <v>142400</v>
      </c>
      <c r="L35" s="26"/>
      <c r="M35" s="26"/>
      <c r="N35" s="14"/>
    </row>
    <row r="36" spans="1:14" x14ac:dyDescent="0.35">
      <c r="A36" s="46">
        <v>23</v>
      </c>
      <c r="B36" s="23" t="s">
        <v>793</v>
      </c>
      <c r="C36" s="24" t="s">
        <v>794</v>
      </c>
      <c r="D36" s="63" t="s">
        <v>545</v>
      </c>
      <c r="E36" s="48">
        <v>98000</v>
      </c>
      <c r="F36" s="77">
        <v>0.99</v>
      </c>
      <c r="G36" s="78">
        <v>97020</v>
      </c>
      <c r="H36" s="77">
        <v>0.65</v>
      </c>
      <c r="I36" s="78">
        <v>63700</v>
      </c>
      <c r="J36" s="77">
        <v>0.6</v>
      </c>
      <c r="K36" s="78">
        <v>58800</v>
      </c>
      <c r="L36" s="26"/>
      <c r="M36" s="26"/>
      <c r="N36" s="14"/>
    </row>
    <row r="37" spans="1:14" x14ac:dyDescent="0.35">
      <c r="A37" s="46">
        <v>24</v>
      </c>
      <c r="B37" s="23" t="s">
        <v>795</v>
      </c>
      <c r="C37" s="24" t="s">
        <v>796</v>
      </c>
      <c r="D37" s="68" t="s">
        <v>545</v>
      </c>
      <c r="E37" s="48">
        <v>11000</v>
      </c>
      <c r="F37" s="77">
        <v>1.93</v>
      </c>
      <c r="G37" s="78">
        <v>21175</v>
      </c>
      <c r="H37" s="77">
        <v>0.86</v>
      </c>
      <c r="I37" s="78">
        <v>9460</v>
      </c>
      <c r="J37" s="77">
        <v>0.8</v>
      </c>
      <c r="K37" s="78">
        <v>8800</v>
      </c>
      <c r="L37" s="26"/>
      <c r="M37" s="26"/>
      <c r="N37" s="14"/>
    </row>
    <row r="38" spans="1:14" x14ac:dyDescent="0.35">
      <c r="A38" s="46">
        <v>25</v>
      </c>
      <c r="B38" s="23" t="s">
        <v>797</v>
      </c>
      <c r="C38" s="24" t="s">
        <v>798</v>
      </c>
      <c r="D38" s="63" t="s">
        <v>545</v>
      </c>
      <c r="E38" s="48">
        <v>84000</v>
      </c>
      <c r="F38" s="77">
        <v>1.21</v>
      </c>
      <c r="G38" s="78">
        <v>101640</v>
      </c>
      <c r="H38" s="77">
        <v>1.03</v>
      </c>
      <c r="I38" s="78">
        <v>86520</v>
      </c>
      <c r="J38" s="77">
        <v>0.95</v>
      </c>
      <c r="K38" s="78">
        <v>79800</v>
      </c>
      <c r="L38" s="26"/>
      <c r="M38" s="26"/>
      <c r="N38" s="14"/>
    </row>
    <row r="39" spans="1:14" x14ac:dyDescent="0.35">
      <c r="A39" s="46">
        <v>26</v>
      </c>
      <c r="B39" s="23" t="s">
        <v>799</v>
      </c>
      <c r="C39" s="24" t="s">
        <v>800</v>
      </c>
      <c r="D39" s="68" t="s">
        <v>545</v>
      </c>
      <c r="E39" s="48">
        <v>4000</v>
      </c>
      <c r="F39" s="77">
        <v>2.2000000000000002</v>
      </c>
      <c r="G39" s="78">
        <v>8800</v>
      </c>
      <c r="H39" s="77">
        <v>1.03</v>
      </c>
      <c r="I39" s="78">
        <v>4120</v>
      </c>
      <c r="J39" s="77">
        <v>0.95</v>
      </c>
      <c r="K39" s="78">
        <v>3800</v>
      </c>
      <c r="L39" s="26"/>
      <c r="M39" s="26"/>
      <c r="N39" s="14"/>
    </row>
    <row r="40" spans="1:14" ht="14.5" customHeight="1" x14ac:dyDescent="0.35">
      <c r="A40" s="46">
        <v>27</v>
      </c>
      <c r="B40" s="23" t="s">
        <v>801</v>
      </c>
      <c r="C40" s="45" t="s">
        <v>802</v>
      </c>
      <c r="D40" s="63" t="s">
        <v>545</v>
      </c>
      <c r="E40" s="48">
        <v>3500</v>
      </c>
      <c r="F40" s="77">
        <v>3.85</v>
      </c>
      <c r="G40" s="78">
        <v>13475</v>
      </c>
      <c r="H40" s="77">
        <v>5.24</v>
      </c>
      <c r="I40" s="78">
        <v>18340</v>
      </c>
      <c r="J40" s="77">
        <v>4.8499999999999996</v>
      </c>
      <c r="K40" s="78">
        <v>16975</v>
      </c>
      <c r="L40" s="28"/>
      <c r="M40" s="28"/>
      <c r="N40" s="14"/>
    </row>
    <row r="41" spans="1:14" ht="14.5" customHeight="1" x14ac:dyDescent="0.35">
      <c r="A41" s="46">
        <v>28</v>
      </c>
      <c r="B41" s="23" t="s">
        <v>803</v>
      </c>
      <c r="C41" s="45" t="s">
        <v>804</v>
      </c>
      <c r="D41" s="68" t="s">
        <v>545</v>
      </c>
      <c r="E41" s="48">
        <v>8700</v>
      </c>
      <c r="F41" s="77">
        <v>2.75</v>
      </c>
      <c r="G41" s="78">
        <v>23925</v>
      </c>
      <c r="H41" s="77">
        <v>0.81</v>
      </c>
      <c r="I41" s="78">
        <v>7047</v>
      </c>
      <c r="J41" s="77">
        <v>0.75</v>
      </c>
      <c r="K41" s="78">
        <v>6525</v>
      </c>
      <c r="L41" s="28"/>
      <c r="M41" s="28"/>
      <c r="N41" s="14"/>
    </row>
    <row r="42" spans="1:14" x14ac:dyDescent="0.35">
      <c r="A42" s="46">
        <v>29</v>
      </c>
      <c r="B42" s="23" t="s">
        <v>805</v>
      </c>
      <c r="C42" s="45" t="s">
        <v>806</v>
      </c>
      <c r="D42" s="63" t="s">
        <v>412</v>
      </c>
      <c r="E42" s="48">
        <v>53400</v>
      </c>
      <c r="F42" s="77">
        <v>3.14</v>
      </c>
      <c r="G42" s="78">
        <v>167409</v>
      </c>
      <c r="H42" s="77">
        <v>2.65</v>
      </c>
      <c r="I42" s="78">
        <v>141510</v>
      </c>
      <c r="J42" s="77">
        <v>1.85</v>
      </c>
      <c r="K42" s="78">
        <v>98790</v>
      </c>
      <c r="L42" s="28"/>
      <c r="M42" s="28"/>
      <c r="N42" s="14"/>
    </row>
    <row r="43" spans="1:14" x14ac:dyDescent="0.35">
      <c r="A43" s="46">
        <v>30</v>
      </c>
      <c r="B43" s="23" t="s">
        <v>553</v>
      </c>
      <c r="C43" s="45" t="s">
        <v>807</v>
      </c>
      <c r="D43" s="68" t="s">
        <v>407</v>
      </c>
      <c r="E43" s="46">
        <v>334</v>
      </c>
      <c r="F43" s="77">
        <v>165</v>
      </c>
      <c r="G43" s="78">
        <v>55110</v>
      </c>
      <c r="H43" s="77">
        <v>113.4</v>
      </c>
      <c r="I43" s="78">
        <v>37875.599999999999</v>
      </c>
      <c r="J43" s="77">
        <v>90</v>
      </c>
      <c r="K43" s="78">
        <v>30060</v>
      </c>
      <c r="L43" s="28"/>
      <c r="M43" s="28"/>
      <c r="N43" s="14"/>
    </row>
    <row r="44" spans="1:14" x14ac:dyDescent="0.35">
      <c r="A44" s="46">
        <v>31</v>
      </c>
      <c r="B44" s="23" t="s">
        <v>557</v>
      </c>
      <c r="C44" s="45" t="s">
        <v>808</v>
      </c>
      <c r="D44" s="63" t="s">
        <v>407</v>
      </c>
      <c r="E44" s="48">
        <v>2895</v>
      </c>
      <c r="F44" s="77">
        <v>220</v>
      </c>
      <c r="G44" s="78">
        <v>636900</v>
      </c>
      <c r="H44" s="77">
        <v>118.8</v>
      </c>
      <c r="I44" s="78">
        <v>343926</v>
      </c>
      <c r="J44" s="77">
        <v>80</v>
      </c>
      <c r="K44" s="78">
        <v>231600</v>
      </c>
      <c r="L44" s="28"/>
      <c r="M44" s="28"/>
      <c r="N44" s="14"/>
    </row>
    <row r="45" spans="1:14" x14ac:dyDescent="0.35">
      <c r="A45" s="46">
        <v>32</v>
      </c>
      <c r="B45" s="23" t="s">
        <v>809</v>
      </c>
      <c r="C45" s="45" t="s">
        <v>810</v>
      </c>
      <c r="D45" s="68" t="s">
        <v>407</v>
      </c>
      <c r="E45" s="48">
        <v>12500</v>
      </c>
      <c r="F45" s="77">
        <v>27.5</v>
      </c>
      <c r="G45" s="78">
        <v>343750</v>
      </c>
      <c r="H45" s="77">
        <v>14.31</v>
      </c>
      <c r="I45" s="78">
        <v>178875</v>
      </c>
      <c r="J45" s="77">
        <v>13.25</v>
      </c>
      <c r="K45" s="78">
        <v>165625</v>
      </c>
      <c r="L45" s="28"/>
      <c r="M45" s="28"/>
      <c r="N45" s="14"/>
    </row>
    <row r="46" spans="1:14" x14ac:dyDescent="0.35">
      <c r="A46" s="46">
        <v>33</v>
      </c>
      <c r="B46" s="23" t="s">
        <v>811</v>
      </c>
      <c r="C46" s="45" t="s">
        <v>812</v>
      </c>
      <c r="D46" s="63" t="s">
        <v>407</v>
      </c>
      <c r="E46" s="48">
        <v>5500</v>
      </c>
      <c r="F46" s="77">
        <v>22</v>
      </c>
      <c r="G46" s="78">
        <v>121000</v>
      </c>
      <c r="H46" s="77">
        <v>12.96</v>
      </c>
      <c r="I46" s="78">
        <v>71280</v>
      </c>
      <c r="J46" s="77">
        <v>12</v>
      </c>
      <c r="K46" s="78">
        <v>66000</v>
      </c>
      <c r="L46" s="28"/>
      <c r="M46" s="28"/>
      <c r="N46" s="14"/>
    </row>
    <row r="47" spans="1:14" x14ac:dyDescent="0.35">
      <c r="A47" s="46">
        <v>34</v>
      </c>
      <c r="B47" s="23" t="s">
        <v>813</v>
      </c>
      <c r="C47" s="45" t="s">
        <v>814</v>
      </c>
      <c r="D47" s="68" t="s">
        <v>478</v>
      </c>
      <c r="E47" s="46">
        <v>22</v>
      </c>
      <c r="F47" s="78">
        <v>2200</v>
      </c>
      <c r="G47" s="78">
        <v>48400</v>
      </c>
      <c r="H47" s="78">
        <v>1188</v>
      </c>
      <c r="I47" s="78">
        <v>26136</v>
      </c>
      <c r="J47" s="78">
        <v>1100</v>
      </c>
      <c r="K47" s="78">
        <v>24200</v>
      </c>
      <c r="L47" s="28"/>
      <c r="M47" s="28"/>
      <c r="N47" s="14"/>
    </row>
    <row r="48" spans="1:14" x14ac:dyDescent="0.35">
      <c r="A48" s="46">
        <v>35</v>
      </c>
      <c r="B48" s="23" t="s">
        <v>563</v>
      </c>
      <c r="C48" s="45" t="s">
        <v>815</v>
      </c>
      <c r="D48" s="63" t="s">
        <v>478</v>
      </c>
      <c r="E48" s="46">
        <v>12</v>
      </c>
      <c r="F48" s="78">
        <v>8250</v>
      </c>
      <c r="G48" s="78">
        <v>99000</v>
      </c>
      <c r="H48" s="78">
        <v>7446.6</v>
      </c>
      <c r="I48" s="78">
        <v>89359.2</v>
      </c>
      <c r="J48" s="78">
        <v>5500</v>
      </c>
      <c r="K48" s="78">
        <v>66000</v>
      </c>
      <c r="L48" s="28"/>
      <c r="M48" s="28"/>
      <c r="N48" s="14"/>
    </row>
    <row r="49" spans="1:14" x14ac:dyDescent="0.35">
      <c r="A49" s="46">
        <v>36</v>
      </c>
      <c r="B49" s="23" t="s">
        <v>816</v>
      </c>
      <c r="C49" s="45" t="s">
        <v>817</v>
      </c>
      <c r="D49" s="68" t="s">
        <v>478</v>
      </c>
      <c r="E49" s="46">
        <v>11</v>
      </c>
      <c r="F49" s="78">
        <v>2750</v>
      </c>
      <c r="G49" s="78">
        <v>30250</v>
      </c>
      <c r="H49" s="78">
        <v>1853.28</v>
      </c>
      <c r="I49" s="78">
        <v>20386.080000000002</v>
      </c>
      <c r="J49" s="78">
        <v>3700</v>
      </c>
      <c r="K49" s="78">
        <v>40700</v>
      </c>
      <c r="L49" s="28"/>
      <c r="M49" s="28"/>
      <c r="N49" s="14"/>
    </row>
    <row r="50" spans="1:14" x14ac:dyDescent="0.35">
      <c r="A50" s="46">
        <v>37</v>
      </c>
      <c r="B50" s="23" t="s">
        <v>818</v>
      </c>
      <c r="C50" s="45" t="s">
        <v>819</v>
      </c>
      <c r="D50" s="63" t="s">
        <v>478</v>
      </c>
      <c r="E50" s="46">
        <v>1</v>
      </c>
      <c r="F50" s="78">
        <v>2750</v>
      </c>
      <c r="G50" s="78">
        <v>2750</v>
      </c>
      <c r="H50" s="78">
        <v>2526.12</v>
      </c>
      <c r="I50" s="78">
        <v>2526.12</v>
      </c>
      <c r="J50" s="78">
        <v>3700</v>
      </c>
      <c r="K50" s="78">
        <v>3700</v>
      </c>
      <c r="L50" s="28"/>
      <c r="M50" s="28"/>
      <c r="N50" s="14"/>
    </row>
    <row r="51" spans="1:14" x14ac:dyDescent="0.35">
      <c r="A51" s="46">
        <v>38</v>
      </c>
      <c r="B51" s="23" t="s">
        <v>555</v>
      </c>
      <c r="C51" s="45" t="s">
        <v>820</v>
      </c>
      <c r="D51" s="68" t="s">
        <v>478</v>
      </c>
      <c r="E51" s="46">
        <v>1</v>
      </c>
      <c r="F51" s="78">
        <v>4950</v>
      </c>
      <c r="G51" s="78">
        <v>4950</v>
      </c>
      <c r="H51" s="78">
        <v>1755</v>
      </c>
      <c r="I51" s="78">
        <v>1755</v>
      </c>
      <c r="J51" s="78">
        <v>2000</v>
      </c>
      <c r="K51" s="78">
        <v>2000</v>
      </c>
      <c r="L51" s="28"/>
      <c r="M51" s="28"/>
      <c r="N51" s="14"/>
    </row>
    <row r="52" spans="1:14" x14ac:dyDescent="0.35">
      <c r="A52" s="46">
        <v>39</v>
      </c>
      <c r="B52" s="23" t="s">
        <v>504</v>
      </c>
      <c r="C52" s="45" t="s">
        <v>821</v>
      </c>
      <c r="D52" s="63" t="s">
        <v>425</v>
      </c>
      <c r="E52" s="46">
        <v>13</v>
      </c>
      <c r="F52" s="78">
        <v>3850</v>
      </c>
      <c r="G52" s="78">
        <v>50050</v>
      </c>
      <c r="H52" s="78">
        <v>3240</v>
      </c>
      <c r="I52" s="78">
        <v>42120</v>
      </c>
      <c r="J52" s="78">
        <v>6000</v>
      </c>
      <c r="K52" s="78">
        <v>78000</v>
      </c>
      <c r="L52" s="28"/>
      <c r="M52" s="28"/>
      <c r="N52" s="14"/>
    </row>
    <row r="53" spans="1:14" x14ac:dyDescent="0.35">
      <c r="A53" s="46">
        <v>40</v>
      </c>
      <c r="B53" s="23" t="s">
        <v>549</v>
      </c>
      <c r="C53" s="45" t="s">
        <v>550</v>
      </c>
      <c r="D53" s="68" t="s">
        <v>412</v>
      </c>
      <c r="E53" s="48">
        <v>3160</v>
      </c>
      <c r="F53" s="77">
        <v>5.5</v>
      </c>
      <c r="G53" s="78">
        <v>17380</v>
      </c>
      <c r="H53" s="77">
        <v>4.8600000000000003</v>
      </c>
      <c r="I53" s="78">
        <v>15357.6</v>
      </c>
      <c r="J53" s="77">
        <v>4.5</v>
      </c>
      <c r="K53" s="78">
        <v>14220</v>
      </c>
      <c r="L53" s="28"/>
      <c r="M53" s="28"/>
      <c r="N53" s="14"/>
    </row>
    <row r="54" spans="1:14" x14ac:dyDescent="0.35">
      <c r="A54" s="46">
        <v>41</v>
      </c>
      <c r="B54" s="23" t="s">
        <v>551</v>
      </c>
      <c r="C54" s="45" t="s">
        <v>822</v>
      </c>
      <c r="D54" s="63" t="s">
        <v>428</v>
      </c>
      <c r="E54" s="48">
        <v>26400</v>
      </c>
      <c r="F54" s="77">
        <v>16.5</v>
      </c>
      <c r="G54" s="78">
        <v>435600</v>
      </c>
      <c r="H54" s="77">
        <v>13.39</v>
      </c>
      <c r="I54" s="78">
        <v>353496</v>
      </c>
      <c r="J54" s="77">
        <v>11</v>
      </c>
      <c r="K54" s="78">
        <v>290400</v>
      </c>
      <c r="L54" s="28"/>
      <c r="M54" s="28"/>
      <c r="N54" s="14"/>
    </row>
    <row r="55" spans="1:14" x14ac:dyDescent="0.35">
      <c r="A55" s="46">
        <v>42</v>
      </c>
      <c r="B55" s="23" t="s">
        <v>512</v>
      </c>
      <c r="C55" s="45" t="s">
        <v>823</v>
      </c>
      <c r="D55" s="68" t="s">
        <v>407</v>
      </c>
      <c r="E55" s="46">
        <v>505</v>
      </c>
      <c r="F55" s="77">
        <v>38.5</v>
      </c>
      <c r="G55" s="78">
        <v>19442.5</v>
      </c>
      <c r="H55" s="77">
        <v>38.29</v>
      </c>
      <c r="I55" s="78">
        <v>19336.45</v>
      </c>
      <c r="J55" s="77">
        <v>24.75</v>
      </c>
      <c r="K55" s="78">
        <v>12498.75</v>
      </c>
      <c r="L55" s="28"/>
      <c r="M55" s="28"/>
      <c r="N55" s="14"/>
    </row>
    <row r="56" spans="1:14" x14ac:dyDescent="0.35">
      <c r="A56" s="46">
        <v>43</v>
      </c>
      <c r="B56" s="23" t="s">
        <v>824</v>
      </c>
      <c r="C56" s="45" t="s">
        <v>825</v>
      </c>
      <c r="D56" s="63" t="s">
        <v>412</v>
      </c>
      <c r="E56" s="46">
        <v>550</v>
      </c>
      <c r="F56" s="77">
        <v>26.4</v>
      </c>
      <c r="G56" s="78">
        <v>14520</v>
      </c>
      <c r="H56" s="77">
        <v>32.200000000000003</v>
      </c>
      <c r="I56" s="78">
        <v>17710</v>
      </c>
      <c r="J56" s="77">
        <v>29</v>
      </c>
      <c r="K56" s="78">
        <v>15950</v>
      </c>
      <c r="L56" s="28"/>
      <c r="M56" s="28"/>
      <c r="N56" s="14"/>
    </row>
    <row r="57" spans="1:14" x14ac:dyDescent="0.35">
      <c r="A57" s="46">
        <v>44</v>
      </c>
      <c r="B57" s="23" t="s">
        <v>826</v>
      </c>
      <c r="C57" s="45" t="s">
        <v>827</v>
      </c>
      <c r="D57" s="68" t="s">
        <v>566</v>
      </c>
      <c r="E57" s="46">
        <v>85</v>
      </c>
      <c r="F57" s="77">
        <v>165</v>
      </c>
      <c r="G57" s="78">
        <v>14025</v>
      </c>
      <c r="H57" s="77">
        <v>300</v>
      </c>
      <c r="I57" s="78">
        <v>25500</v>
      </c>
      <c r="J57" s="77">
        <v>250</v>
      </c>
      <c r="K57" s="78">
        <v>21250</v>
      </c>
      <c r="L57" s="28"/>
      <c r="M57" s="28"/>
      <c r="N57" s="14"/>
    </row>
    <row r="58" spans="1:14" x14ac:dyDescent="0.35">
      <c r="A58" s="46">
        <v>45</v>
      </c>
      <c r="B58" s="23" t="s">
        <v>828</v>
      </c>
      <c r="C58" s="45" t="s">
        <v>829</v>
      </c>
      <c r="D58" s="63" t="s">
        <v>407</v>
      </c>
      <c r="E58" s="48">
        <v>29800</v>
      </c>
      <c r="F58" s="77">
        <v>3.58</v>
      </c>
      <c r="G58" s="78">
        <v>106535</v>
      </c>
      <c r="H58" s="77">
        <v>3.53</v>
      </c>
      <c r="I58" s="78">
        <v>105194</v>
      </c>
      <c r="J58" s="77">
        <v>3.27</v>
      </c>
      <c r="K58" s="78">
        <v>97446</v>
      </c>
      <c r="L58" s="28"/>
      <c r="M58" s="28"/>
      <c r="N58" s="14"/>
    </row>
    <row r="59" spans="1:14" x14ac:dyDescent="0.35">
      <c r="A59" s="46">
        <v>46</v>
      </c>
      <c r="B59" s="23" t="s">
        <v>830</v>
      </c>
      <c r="C59" s="45" t="s">
        <v>831</v>
      </c>
      <c r="D59" s="68" t="s">
        <v>407</v>
      </c>
      <c r="E59" s="48">
        <v>1900</v>
      </c>
      <c r="F59" s="77">
        <v>3.14</v>
      </c>
      <c r="G59" s="78">
        <v>5956.5</v>
      </c>
      <c r="H59" s="77">
        <v>4.9800000000000004</v>
      </c>
      <c r="I59" s="78">
        <v>9462</v>
      </c>
      <c r="J59" s="77">
        <v>4.6100000000000003</v>
      </c>
      <c r="K59" s="78">
        <v>8759</v>
      </c>
      <c r="L59" s="28"/>
      <c r="M59" s="28"/>
      <c r="N59" s="14"/>
    </row>
    <row r="60" spans="1:14" x14ac:dyDescent="0.35">
      <c r="A60" s="46">
        <v>47</v>
      </c>
      <c r="B60" s="23" t="s">
        <v>832</v>
      </c>
      <c r="C60" s="45" t="s">
        <v>833</v>
      </c>
      <c r="D60" s="63" t="s">
        <v>407</v>
      </c>
      <c r="E60" s="48">
        <v>20500</v>
      </c>
      <c r="F60" s="77">
        <v>5.5</v>
      </c>
      <c r="G60" s="78">
        <v>112750</v>
      </c>
      <c r="H60" s="77">
        <v>2.1800000000000002</v>
      </c>
      <c r="I60" s="78">
        <v>44690</v>
      </c>
      <c r="J60" s="77">
        <v>2.02</v>
      </c>
      <c r="K60" s="78">
        <v>41410</v>
      </c>
      <c r="L60" s="28"/>
      <c r="M60" s="28"/>
      <c r="N60" s="14"/>
    </row>
    <row r="61" spans="1:14" x14ac:dyDescent="0.35">
      <c r="A61" s="46">
        <v>48</v>
      </c>
      <c r="B61" s="23" t="s">
        <v>834</v>
      </c>
      <c r="C61" s="45" t="s">
        <v>835</v>
      </c>
      <c r="D61" s="68" t="s">
        <v>407</v>
      </c>
      <c r="E61" s="46">
        <v>630</v>
      </c>
      <c r="F61" s="77">
        <v>8.25</v>
      </c>
      <c r="G61" s="78">
        <v>5197.5</v>
      </c>
      <c r="H61" s="77">
        <v>5.52</v>
      </c>
      <c r="I61" s="78">
        <v>3477.6</v>
      </c>
      <c r="J61" s="77">
        <v>5.1100000000000003</v>
      </c>
      <c r="K61" s="78">
        <v>3219.3</v>
      </c>
      <c r="L61" s="28"/>
      <c r="M61" s="28"/>
      <c r="N61" s="14"/>
    </row>
    <row r="62" spans="1:14" x14ac:dyDescent="0.35">
      <c r="A62" s="46">
        <v>49</v>
      </c>
      <c r="B62" s="23" t="s">
        <v>836</v>
      </c>
      <c r="C62" s="45" t="s">
        <v>837</v>
      </c>
      <c r="D62" s="63" t="s">
        <v>407</v>
      </c>
      <c r="E62" s="46">
        <v>90</v>
      </c>
      <c r="F62" s="77">
        <v>148.5</v>
      </c>
      <c r="G62" s="78">
        <v>13365</v>
      </c>
      <c r="H62" s="77">
        <v>271.35000000000002</v>
      </c>
      <c r="I62" s="78">
        <v>24421.5</v>
      </c>
      <c r="J62" s="77">
        <v>251.25</v>
      </c>
      <c r="K62" s="78">
        <v>22612.5</v>
      </c>
      <c r="L62" s="28"/>
      <c r="M62" s="28"/>
      <c r="N62" s="14"/>
    </row>
    <row r="63" spans="1:14" x14ac:dyDescent="0.35">
      <c r="A63" s="46">
        <v>50</v>
      </c>
      <c r="B63" s="23" t="s">
        <v>838</v>
      </c>
      <c r="C63" s="45" t="s">
        <v>839</v>
      </c>
      <c r="D63" s="68" t="s">
        <v>407</v>
      </c>
      <c r="E63" s="48">
        <v>20500</v>
      </c>
      <c r="F63" s="77">
        <v>27.5</v>
      </c>
      <c r="G63" s="78">
        <v>563750</v>
      </c>
      <c r="H63" s="77">
        <v>13.21</v>
      </c>
      <c r="I63" s="78">
        <v>270805</v>
      </c>
      <c r="J63" s="77">
        <v>12.23</v>
      </c>
      <c r="K63" s="78">
        <v>250715</v>
      </c>
      <c r="L63" s="28"/>
      <c r="M63" s="28"/>
      <c r="N63" s="14"/>
    </row>
    <row r="64" spans="1:14" x14ac:dyDescent="0.35">
      <c r="A64" s="46">
        <v>51</v>
      </c>
      <c r="B64" s="16" t="s">
        <v>840</v>
      </c>
      <c r="C64" s="24" t="s">
        <v>841</v>
      </c>
      <c r="D64" s="63" t="s">
        <v>407</v>
      </c>
      <c r="E64" s="46">
        <v>110</v>
      </c>
      <c r="F64" s="77">
        <v>44</v>
      </c>
      <c r="G64" s="78">
        <v>4840</v>
      </c>
      <c r="H64" s="77">
        <v>198.34</v>
      </c>
      <c r="I64" s="78">
        <v>21817.4</v>
      </c>
      <c r="J64" s="77">
        <v>183.65</v>
      </c>
      <c r="K64" s="78">
        <v>20201.5</v>
      </c>
      <c r="L64" s="34"/>
      <c r="M64" s="34"/>
      <c r="N64" s="14"/>
    </row>
    <row r="65" spans="1:14" x14ac:dyDescent="0.35">
      <c r="A65" s="46">
        <v>52</v>
      </c>
      <c r="B65" s="16" t="s">
        <v>842</v>
      </c>
      <c r="C65" s="24" t="s">
        <v>843</v>
      </c>
      <c r="D65" s="68" t="s">
        <v>478</v>
      </c>
      <c r="E65" s="46">
        <v>8</v>
      </c>
      <c r="F65" s="77">
        <v>550</v>
      </c>
      <c r="G65" s="78">
        <v>4400</v>
      </c>
      <c r="H65" s="78">
        <v>2711.95</v>
      </c>
      <c r="I65" s="78">
        <v>21695.599999999999</v>
      </c>
      <c r="J65" s="78">
        <v>2511.06</v>
      </c>
      <c r="K65" s="78">
        <v>20088.48</v>
      </c>
      <c r="L65" s="34"/>
      <c r="M65" s="34"/>
      <c r="N65" s="14"/>
    </row>
    <row r="66" spans="1:14" x14ac:dyDescent="0.35">
      <c r="A66" s="46">
        <v>53</v>
      </c>
      <c r="B66" s="16" t="s">
        <v>844</v>
      </c>
      <c r="C66" s="24" t="s">
        <v>845</v>
      </c>
      <c r="D66" s="63" t="s">
        <v>478</v>
      </c>
      <c r="E66" s="46">
        <v>18</v>
      </c>
      <c r="F66" s="77">
        <v>550</v>
      </c>
      <c r="G66" s="78">
        <v>9900</v>
      </c>
      <c r="H66" s="78">
        <v>2927.95</v>
      </c>
      <c r="I66" s="78">
        <v>52703.1</v>
      </c>
      <c r="J66" s="78">
        <v>2711.06</v>
      </c>
      <c r="K66" s="78">
        <v>48799.08</v>
      </c>
      <c r="L66" s="34"/>
      <c r="M66" s="34"/>
      <c r="N66" s="14"/>
    </row>
    <row r="67" spans="1:14" x14ac:dyDescent="0.35">
      <c r="A67" s="46">
        <v>54</v>
      </c>
      <c r="B67" s="16" t="s">
        <v>31</v>
      </c>
      <c r="C67" s="24" t="s">
        <v>846</v>
      </c>
      <c r="D67" s="68" t="s">
        <v>478</v>
      </c>
      <c r="E67" s="46">
        <v>57</v>
      </c>
      <c r="F67" s="78">
        <v>2200</v>
      </c>
      <c r="G67" s="78">
        <v>125400</v>
      </c>
      <c r="H67" s="78">
        <v>2326.86</v>
      </c>
      <c r="I67" s="78">
        <v>132631.01999999999</v>
      </c>
      <c r="J67" s="78">
        <v>2154.5</v>
      </c>
      <c r="K67" s="78">
        <v>122806.5</v>
      </c>
      <c r="L67" s="34"/>
      <c r="M67" s="34"/>
      <c r="N67" s="14"/>
    </row>
    <row r="68" spans="1:14" x14ac:dyDescent="0.35">
      <c r="A68" s="46">
        <v>55</v>
      </c>
      <c r="B68" s="16" t="s">
        <v>746</v>
      </c>
      <c r="C68" s="24" t="s">
        <v>847</v>
      </c>
      <c r="D68" s="63" t="s">
        <v>478</v>
      </c>
      <c r="E68" s="46">
        <v>3</v>
      </c>
      <c r="F68" s="78">
        <v>2530</v>
      </c>
      <c r="G68" s="78">
        <v>7590</v>
      </c>
      <c r="H68" s="78">
        <v>3400.19</v>
      </c>
      <c r="I68" s="78">
        <v>10200.57</v>
      </c>
      <c r="J68" s="78">
        <v>3148.32</v>
      </c>
      <c r="K68" s="78">
        <v>9444.9599999999991</v>
      </c>
      <c r="L68" s="34"/>
      <c r="M68" s="34"/>
      <c r="N68" s="14"/>
    </row>
    <row r="69" spans="1:14" x14ac:dyDescent="0.35">
      <c r="A69" s="46">
        <v>56</v>
      </c>
      <c r="B69" s="16" t="s">
        <v>748</v>
      </c>
      <c r="C69" s="24" t="s">
        <v>848</v>
      </c>
      <c r="D69" s="68" t="s">
        <v>478</v>
      </c>
      <c r="E69" s="46">
        <v>16</v>
      </c>
      <c r="F69" s="78">
        <v>2200</v>
      </c>
      <c r="G69" s="78">
        <v>35200</v>
      </c>
      <c r="H69" s="78">
        <v>2725.75</v>
      </c>
      <c r="I69" s="78">
        <v>43612</v>
      </c>
      <c r="J69" s="78">
        <v>2523.84</v>
      </c>
      <c r="K69" s="78">
        <v>40381.440000000002</v>
      </c>
      <c r="L69" s="34"/>
      <c r="M69" s="34"/>
      <c r="N69" s="14"/>
    </row>
    <row r="70" spans="1:14" x14ac:dyDescent="0.35">
      <c r="A70" s="46">
        <v>57</v>
      </c>
      <c r="B70" s="16" t="s">
        <v>750</v>
      </c>
      <c r="C70" s="24" t="s">
        <v>849</v>
      </c>
      <c r="D70" s="63" t="s">
        <v>478</v>
      </c>
      <c r="E70" s="46">
        <v>70</v>
      </c>
      <c r="F70" s="78">
        <v>2200</v>
      </c>
      <c r="G70" s="78">
        <v>154000</v>
      </c>
      <c r="H70" s="78">
        <v>1571.05</v>
      </c>
      <c r="I70" s="78">
        <v>109973.5</v>
      </c>
      <c r="J70" s="78">
        <v>1454.68</v>
      </c>
      <c r="K70" s="78">
        <v>101827.6</v>
      </c>
      <c r="L70" s="34"/>
      <c r="M70" s="34"/>
      <c r="N70" s="14"/>
    </row>
    <row r="71" spans="1:14" x14ac:dyDescent="0.35">
      <c r="A71" s="46">
        <v>58</v>
      </c>
      <c r="B71" s="16" t="s">
        <v>752</v>
      </c>
      <c r="C71" s="24" t="s">
        <v>850</v>
      </c>
      <c r="D71" s="68" t="s">
        <v>478</v>
      </c>
      <c r="E71" s="46">
        <v>5</v>
      </c>
      <c r="F71" s="78">
        <v>5500</v>
      </c>
      <c r="G71" s="78">
        <v>27500</v>
      </c>
      <c r="H71" s="78">
        <v>10929.69</v>
      </c>
      <c r="I71" s="78">
        <v>54648.45</v>
      </c>
      <c r="J71" s="78">
        <v>10120.08</v>
      </c>
      <c r="K71" s="78">
        <v>50600.4</v>
      </c>
      <c r="L71" s="34"/>
      <c r="M71" s="34"/>
      <c r="N71" s="14"/>
    </row>
    <row r="72" spans="1:14" x14ac:dyDescent="0.35">
      <c r="A72" s="46">
        <v>59</v>
      </c>
      <c r="B72" s="16" t="s">
        <v>851</v>
      </c>
      <c r="C72" s="24" t="s">
        <v>852</v>
      </c>
      <c r="D72" s="63" t="s">
        <v>478</v>
      </c>
      <c r="E72" s="46">
        <v>3</v>
      </c>
      <c r="F72" s="78">
        <v>5500</v>
      </c>
      <c r="G72" s="78">
        <v>16500</v>
      </c>
      <c r="H72" s="78">
        <v>8135.51</v>
      </c>
      <c r="I72" s="78">
        <v>24406.53</v>
      </c>
      <c r="J72" s="78">
        <v>7532.88</v>
      </c>
      <c r="K72" s="78">
        <v>22598.639999999999</v>
      </c>
      <c r="L72" s="34"/>
      <c r="M72" s="34"/>
      <c r="N72" s="14"/>
    </row>
    <row r="73" spans="1:14" x14ac:dyDescent="0.35">
      <c r="A73" s="46">
        <v>60</v>
      </c>
      <c r="B73" s="16" t="s">
        <v>853</v>
      </c>
      <c r="C73" s="24" t="s">
        <v>854</v>
      </c>
      <c r="D73" s="68" t="s">
        <v>478</v>
      </c>
      <c r="E73" s="46">
        <v>6</v>
      </c>
      <c r="F73" s="78">
        <v>6050</v>
      </c>
      <c r="G73" s="78">
        <v>36300</v>
      </c>
      <c r="H73" s="78">
        <v>8931.27</v>
      </c>
      <c r="I73" s="78">
        <v>53587.62</v>
      </c>
      <c r="J73" s="78">
        <v>8269.69</v>
      </c>
      <c r="K73" s="78">
        <v>49618.14</v>
      </c>
      <c r="L73" s="34"/>
      <c r="M73" s="34"/>
      <c r="N73" s="14"/>
    </row>
    <row r="74" spans="1:14" x14ac:dyDescent="0.35">
      <c r="A74" s="46">
        <v>61</v>
      </c>
      <c r="B74" s="16" t="s">
        <v>855</v>
      </c>
      <c r="C74" s="24" t="s">
        <v>856</v>
      </c>
      <c r="D74" s="63" t="s">
        <v>478</v>
      </c>
      <c r="E74" s="46">
        <v>1</v>
      </c>
      <c r="F74" s="78">
        <v>6050</v>
      </c>
      <c r="G74" s="78">
        <v>6050</v>
      </c>
      <c r="H74" s="78">
        <v>8778.93</v>
      </c>
      <c r="I74" s="78">
        <v>8778.93</v>
      </c>
      <c r="J74" s="78">
        <v>8128.64</v>
      </c>
      <c r="K74" s="78">
        <v>8128.64</v>
      </c>
      <c r="L74" s="34"/>
      <c r="M74" s="34"/>
      <c r="N74" s="14"/>
    </row>
    <row r="75" spans="1:14" x14ac:dyDescent="0.35">
      <c r="A75" s="46">
        <v>62</v>
      </c>
      <c r="B75" s="16" t="s">
        <v>857</v>
      </c>
      <c r="C75" s="24" t="s">
        <v>858</v>
      </c>
      <c r="D75" s="68" t="s">
        <v>478</v>
      </c>
      <c r="E75" s="46">
        <v>3</v>
      </c>
      <c r="F75" s="78">
        <v>6600</v>
      </c>
      <c r="G75" s="78">
        <v>19800</v>
      </c>
      <c r="H75" s="78">
        <v>10464.709999999999</v>
      </c>
      <c r="I75" s="78">
        <v>31394.13</v>
      </c>
      <c r="J75" s="78">
        <v>9689.5499999999993</v>
      </c>
      <c r="K75" s="78">
        <v>29068.65</v>
      </c>
      <c r="L75" s="34"/>
      <c r="M75" s="34"/>
      <c r="N75" s="14"/>
    </row>
    <row r="76" spans="1:14" x14ac:dyDescent="0.35">
      <c r="A76" s="46">
        <v>63</v>
      </c>
      <c r="B76" s="16" t="s">
        <v>859</v>
      </c>
      <c r="C76" s="24" t="s">
        <v>860</v>
      </c>
      <c r="D76" s="63" t="s">
        <v>478</v>
      </c>
      <c r="E76" s="46">
        <v>6</v>
      </c>
      <c r="F76" s="78">
        <v>6600</v>
      </c>
      <c r="G76" s="78">
        <v>39600</v>
      </c>
      <c r="H76" s="78">
        <v>10490.9</v>
      </c>
      <c r="I76" s="78">
        <v>62945.4</v>
      </c>
      <c r="J76" s="78">
        <v>9713.7999999999993</v>
      </c>
      <c r="K76" s="78">
        <v>58282.8</v>
      </c>
      <c r="L76" s="34"/>
      <c r="M76" s="34"/>
      <c r="N76" s="14"/>
    </row>
    <row r="77" spans="1:14" x14ac:dyDescent="0.35">
      <c r="A77" s="46">
        <v>64</v>
      </c>
      <c r="B77" s="16" t="s">
        <v>861</v>
      </c>
      <c r="C77" s="24" t="s">
        <v>862</v>
      </c>
      <c r="D77" s="68" t="s">
        <v>478</v>
      </c>
      <c r="E77" s="46">
        <v>2</v>
      </c>
      <c r="F77" s="78">
        <v>82500</v>
      </c>
      <c r="G77" s="78">
        <v>165000</v>
      </c>
      <c r="H77" s="78">
        <v>65822.080000000002</v>
      </c>
      <c r="I77" s="78">
        <v>131644.16</v>
      </c>
      <c r="J77" s="78">
        <v>60946.37</v>
      </c>
      <c r="K77" s="78">
        <v>121892.74</v>
      </c>
      <c r="L77" s="34"/>
      <c r="M77" s="34"/>
      <c r="N77" s="14"/>
    </row>
    <row r="78" spans="1:14" x14ac:dyDescent="0.35">
      <c r="A78" s="46">
        <v>65</v>
      </c>
      <c r="B78" s="16" t="s">
        <v>754</v>
      </c>
      <c r="C78" s="24" t="s">
        <v>863</v>
      </c>
      <c r="D78" s="63" t="s">
        <v>478</v>
      </c>
      <c r="E78" s="46">
        <v>1</v>
      </c>
      <c r="F78" s="78">
        <v>22000</v>
      </c>
      <c r="G78" s="78">
        <v>22000</v>
      </c>
      <c r="H78" s="78">
        <v>22367.33</v>
      </c>
      <c r="I78" s="78">
        <v>22367.33</v>
      </c>
      <c r="J78" s="78">
        <v>20710.490000000002</v>
      </c>
      <c r="K78" s="78">
        <v>20710.490000000002</v>
      </c>
      <c r="L78" s="34"/>
      <c r="M78" s="34"/>
      <c r="N78" s="14"/>
    </row>
    <row r="79" spans="1:14" x14ac:dyDescent="0.35">
      <c r="A79" s="46">
        <v>66</v>
      </c>
      <c r="B79" s="16" t="s">
        <v>754</v>
      </c>
      <c r="C79" s="24" t="s">
        <v>864</v>
      </c>
      <c r="D79" s="68" t="s">
        <v>28</v>
      </c>
      <c r="E79" s="46">
        <v>1</v>
      </c>
      <c r="F79" s="78">
        <v>5500</v>
      </c>
      <c r="G79" s="78">
        <v>5500</v>
      </c>
      <c r="H79" s="78">
        <v>53010.8</v>
      </c>
      <c r="I79" s="78">
        <v>53010.8</v>
      </c>
      <c r="J79" s="78">
        <v>49084.07</v>
      </c>
      <c r="K79" s="78">
        <v>49084.07</v>
      </c>
      <c r="L79" s="34"/>
      <c r="M79" s="34"/>
      <c r="N79" s="14"/>
    </row>
    <row r="80" spans="1:14" x14ac:dyDescent="0.35">
      <c r="A80" s="46">
        <v>67</v>
      </c>
      <c r="B80" s="16" t="s">
        <v>754</v>
      </c>
      <c r="C80" s="24" t="s">
        <v>865</v>
      </c>
      <c r="D80" s="63" t="s">
        <v>28</v>
      </c>
      <c r="E80" s="46">
        <v>1</v>
      </c>
      <c r="F80" s="78">
        <v>220000</v>
      </c>
      <c r="G80" s="78">
        <v>220000</v>
      </c>
      <c r="H80" s="78">
        <v>44444.12</v>
      </c>
      <c r="I80" s="78">
        <v>44444.12</v>
      </c>
      <c r="J80" s="78">
        <v>41151.96</v>
      </c>
      <c r="K80" s="78">
        <v>41151.96</v>
      </c>
      <c r="L80" s="34"/>
      <c r="M80" s="34"/>
      <c r="N80" s="14"/>
    </row>
    <row r="81" spans="1:14" x14ac:dyDescent="0.35">
      <c r="A81" s="46">
        <v>68</v>
      </c>
      <c r="B81" s="16" t="s">
        <v>754</v>
      </c>
      <c r="C81" s="24" t="s">
        <v>866</v>
      </c>
      <c r="D81" s="68" t="s">
        <v>28</v>
      </c>
      <c r="E81" s="46">
        <v>1</v>
      </c>
      <c r="F81" s="78">
        <v>11000</v>
      </c>
      <c r="G81" s="78">
        <v>11000</v>
      </c>
      <c r="H81" s="78">
        <v>5400</v>
      </c>
      <c r="I81" s="78">
        <v>5400</v>
      </c>
      <c r="J81" s="78">
        <v>5000</v>
      </c>
      <c r="K81" s="78">
        <v>5000</v>
      </c>
      <c r="L81" s="34"/>
      <c r="M81" s="34"/>
      <c r="N81" s="14"/>
    </row>
    <row r="82" spans="1:14" x14ac:dyDescent="0.35">
      <c r="A82" s="46">
        <v>69</v>
      </c>
      <c r="B82" s="16" t="s">
        <v>754</v>
      </c>
      <c r="C82" s="24" t="s">
        <v>867</v>
      </c>
      <c r="D82" s="63" t="s">
        <v>28</v>
      </c>
      <c r="E82" s="46">
        <v>1</v>
      </c>
      <c r="F82" s="78">
        <v>13750</v>
      </c>
      <c r="G82" s="78">
        <v>13750</v>
      </c>
      <c r="H82" s="78">
        <v>19749.27</v>
      </c>
      <c r="I82" s="78">
        <v>19749.27</v>
      </c>
      <c r="J82" s="78">
        <v>18286.36</v>
      </c>
      <c r="K82" s="78">
        <v>18286.36</v>
      </c>
      <c r="L82" s="34"/>
      <c r="M82" s="34"/>
      <c r="N82" s="14"/>
    </row>
    <row r="83" spans="1:14" x14ac:dyDescent="0.35">
      <c r="A83" s="46">
        <v>70</v>
      </c>
      <c r="B83" s="16" t="s">
        <v>754</v>
      </c>
      <c r="C83" s="24" t="s">
        <v>868</v>
      </c>
      <c r="D83" s="68" t="s">
        <v>478</v>
      </c>
      <c r="E83" s="46">
        <v>1</v>
      </c>
      <c r="F83" s="78">
        <v>8250</v>
      </c>
      <c r="G83" s="78">
        <v>8250</v>
      </c>
      <c r="H83" s="78">
        <v>4164.6400000000003</v>
      </c>
      <c r="I83" s="78">
        <v>4164.6400000000003</v>
      </c>
      <c r="J83" s="78">
        <v>3856.15</v>
      </c>
      <c r="K83" s="78">
        <v>3856.15</v>
      </c>
      <c r="L83" s="34"/>
      <c r="M83" s="34"/>
      <c r="N83" s="14"/>
    </row>
    <row r="84" spans="1:14" x14ac:dyDescent="0.35">
      <c r="A84" s="46">
        <v>71</v>
      </c>
      <c r="B84" s="16" t="s">
        <v>754</v>
      </c>
      <c r="C84" s="24" t="s">
        <v>869</v>
      </c>
      <c r="D84" s="63" t="s">
        <v>478</v>
      </c>
      <c r="E84" s="46">
        <v>3</v>
      </c>
      <c r="F84" s="78">
        <v>8250</v>
      </c>
      <c r="G84" s="78">
        <v>24750</v>
      </c>
      <c r="H84" s="78">
        <v>4815.8</v>
      </c>
      <c r="I84" s="78">
        <v>14447.4</v>
      </c>
      <c r="J84" s="78">
        <v>4459.07</v>
      </c>
      <c r="K84" s="78">
        <v>13377.21</v>
      </c>
      <c r="L84" s="34"/>
      <c r="M84" s="34"/>
      <c r="N84" s="14"/>
    </row>
    <row r="85" spans="1:14" x14ac:dyDescent="0.35">
      <c r="A85" s="46">
        <v>72</v>
      </c>
      <c r="B85" s="16" t="s">
        <v>754</v>
      </c>
      <c r="C85" s="24" t="s">
        <v>870</v>
      </c>
      <c r="D85" s="68" t="s">
        <v>407</v>
      </c>
      <c r="E85" s="48">
        <v>1600</v>
      </c>
      <c r="F85" s="77">
        <v>22</v>
      </c>
      <c r="G85" s="78">
        <v>35200</v>
      </c>
      <c r="H85" s="77">
        <v>13.55</v>
      </c>
      <c r="I85" s="78">
        <v>21680</v>
      </c>
      <c r="J85" s="77">
        <v>12.55</v>
      </c>
      <c r="K85" s="78">
        <v>20080</v>
      </c>
      <c r="L85" s="34"/>
      <c r="M85" s="34"/>
      <c r="N85" s="14"/>
    </row>
    <row r="86" spans="1:14" x14ac:dyDescent="0.35">
      <c r="A86" s="46">
        <v>73</v>
      </c>
      <c r="B86" s="16" t="s">
        <v>754</v>
      </c>
      <c r="C86" s="24" t="s">
        <v>871</v>
      </c>
      <c r="D86" s="63" t="s">
        <v>407</v>
      </c>
      <c r="E86" s="48">
        <v>1300</v>
      </c>
      <c r="F86" s="77">
        <v>33</v>
      </c>
      <c r="G86" s="78">
        <v>42900</v>
      </c>
      <c r="H86" s="77">
        <v>16.86</v>
      </c>
      <c r="I86" s="78">
        <v>21918</v>
      </c>
      <c r="J86" s="77">
        <v>15.61</v>
      </c>
      <c r="K86" s="78">
        <v>20293</v>
      </c>
      <c r="L86" s="34"/>
      <c r="M86" s="34"/>
      <c r="N86" s="14"/>
    </row>
    <row r="87" spans="1:14" x14ac:dyDescent="0.35">
      <c r="A87" s="46">
        <v>74</v>
      </c>
      <c r="B87" s="16" t="s">
        <v>754</v>
      </c>
      <c r="C87" s="24" t="s">
        <v>872</v>
      </c>
      <c r="D87" s="68" t="s">
        <v>407</v>
      </c>
      <c r="E87" s="48">
        <v>1300</v>
      </c>
      <c r="F87" s="77">
        <v>3.85</v>
      </c>
      <c r="G87" s="78">
        <v>5005</v>
      </c>
      <c r="H87" s="77">
        <v>5.66</v>
      </c>
      <c r="I87" s="78">
        <v>7358</v>
      </c>
      <c r="J87" s="77">
        <v>5.24</v>
      </c>
      <c r="K87" s="78">
        <v>6812</v>
      </c>
      <c r="L87" s="34"/>
      <c r="M87" s="34"/>
      <c r="N87" s="14"/>
    </row>
    <row r="88" spans="1:14" x14ac:dyDescent="0.35">
      <c r="A88" s="46">
        <v>75</v>
      </c>
      <c r="B88" s="16" t="s">
        <v>754</v>
      </c>
      <c r="C88" s="24" t="s">
        <v>873</v>
      </c>
      <c r="D88" s="63" t="s">
        <v>407</v>
      </c>
      <c r="E88" s="48">
        <v>5220</v>
      </c>
      <c r="F88" s="77">
        <v>5.5</v>
      </c>
      <c r="G88" s="78">
        <v>28710</v>
      </c>
      <c r="H88" s="77">
        <v>12.58</v>
      </c>
      <c r="I88" s="78">
        <v>65667.600000000006</v>
      </c>
      <c r="J88" s="77">
        <v>11.65</v>
      </c>
      <c r="K88" s="78">
        <v>60813</v>
      </c>
      <c r="L88" s="34"/>
      <c r="M88" s="34"/>
      <c r="N88" s="14"/>
    </row>
    <row r="89" spans="1:14" x14ac:dyDescent="0.35">
      <c r="A89" s="46">
        <v>76</v>
      </c>
      <c r="B89" s="16" t="s">
        <v>754</v>
      </c>
      <c r="C89" s="24" t="s">
        <v>874</v>
      </c>
      <c r="D89" s="68" t="s">
        <v>407</v>
      </c>
      <c r="E89" s="48">
        <v>7000</v>
      </c>
      <c r="F89" s="77">
        <v>3.85</v>
      </c>
      <c r="G89" s="78">
        <v>26950</v>
      </c>
      <c r="H89" s="77">
        <v>4.07</v>
      </c>
      <c r="I89" s="78">
        <v>28490</v>
      </c>
      <c r="J89" s="77">
        <v>3.77</v>
      </c>
      <c r="K89" s="78">
        <v>26390</v>
      </c>
      <c r="L89" s="26"/>
      <c r="M89" s="26"/>
      <c r="N89" s="14"/>
    </row>
    <row r="90" spans="1:14" x14ac:dyDescent="0.35">
      <c r="A90" s="46">
        <v>77</v>
      </c>
      <c r="B90" s="16" t="s">
        <v>754</v>
      </c>
      <c r="C90" s="24" t="s">
        <v>875</v>
      </c>
      <c r="D90" s="63" t="s">
        <v>407</v>
      </c>
      <c r="E90" s="48">
        <v>3400</v>
      </c>
      <c r="F90" s="77">
        <v>3.85</v>
      </c>
      <c r="G90" s="78">
        <v>13090</v>
      </c>
      <c r="H90" s="77">
        <v>3.36</v>
      </c>
      <c r="I90" s="78">
        <v>11424</v>
      </c>
      <c r="J90" s="77">
        <v>3.11</v>
      </c>
      <c r="K90" s="78">
        <v>10574</v>
      </c>
      <c r="L90" s="26"/>
      <c r="M90" s="26"/>
      <c r="N90" s="14"/>
    </row>
    <row r="91" spans="1:14" x14ac:dyDescent="0.35">
      <c r="A91" s="46">
        <v>78</v>
      </c>
      <c r="B91" s="16" t="s">
        <v>754</v>
      </c>
      <c r="C91" s="24" t="s">
        <v>876</v>
      </c>
      <c r="D91" s="68" t="s">
        <v>407</v>
      </c>
      <c r="E91" s="46">
        <v>100</v>
      </c>
      <c r="F91" s="77">
        <v>3.85</v>
      </c>
      <c r="G91" s="77">
        <v>385</v>
      </c>
      <c r="H91" s="77">
        <v>4.8600000000000003</v>
      </c>
      <c r="I91" s="77">
        <v>486</v>
      </c>
      <c r="J91" s="77">
        <v>4.5</v>
      </c>
      <c r="K91" s="77">
        <v>450</v>
      </c>
      <c r="L91" s="26"/>
      <c r="M91" s="26"/>
      <c r="N91" s="14"/>
    </row>
    <row r="92" spans="1:14" x14ac:dyDescent="0.35">
      <c r="A92" s="46">
        <v>79</v>
      </c>
      <c r="B92" s="16" t="s">
        <v>754</v>
      </c>
      <c r="C92" s="24" t="s">
        <v>877</v>
      </c>
      <c r="D92" s="63" t="s">
        <v>407</v>
      </c>
      <c r="E92" s="46">
        <v>50</v>
      </c>
      <c r="F92" s="77">
        <v>3.85</v>
      </c>
      <c r="G92" s="77">
        <v>192.5</v>
      </c>
      <c r="H92" s="77">
        <v>1.62</v>
      </c>
      <c r="I92" s="77">
        <v>81</v>
      </c>
      <c r="J92" s="77">
        <v>1.5</v>
      </c>
      <c r="K92" s="77">
        <v>75</v>
      </c>
      <c r="L92" s="26"/>
      <c r="M92" s="26"/>
      <c r="N92" s="14"/>
    </row>
    <row r="93" spans="1:14" x14ac:dyDescent="0.35">
      <c r="A93" s="46">
        <v>80</v>
      </c>
      <c r="B93" s="16" t="s">
        <v>754</v>
      </c>
      <c r="C93" s="24" t="s">
        <v>878</v>
      </c>
      <c r="D93" s="68" t="s">
        <v>407</v>
      </c>
      <c r="E93" s="46">
        <v>100</v>
      </c>
      <c r="F93" s="77">
        <v>3.85</v>
      </c>
      <c r="G93" s="77">
        <v>385</v>
      </c>
      <c r="H93" s="77">
        <v>2.97</v>
      </c>
      <c r="I93" s="77">
        <v>297</v>
      </c>
      <c r="J93" s="77">
        <v>2.75</v>
      </c>
      <c r="K93" s="77">
        <v>275</v>
      </c>
      <c r="L93" s="26"/>
      <c r="M93" s="26"/>
      <c r="N93" s="14"/>
    </row>
    <row r="94" spans="1:14" ht="15" thickBot="1" x14ac:dyDescent="0.4">
      <c r="A94" s="24"/>
      <c r="B94" s="24"/>
      <c r="C94" s="25"/>
      <c r="D94" s="24"/>
      <c r="E94" s="25"/>
      <c r="F94" s="26"/>
      <c r="G94" s="26"/>
      <c r="H94" s="26"/>
      <c r="I94" s="26"/>
      <c r="J94" s="26"/>
      <c r="K94" s="26"/>
      <c r="L94" s="26"/>
      <c r="M94" s="26"/>
      <c r="N94" s="14"/>
    </row>
    <row r="95" spans="1:14" ht="16" thickBot="1" x14ac:dyDescent="0.4">
      <c r="A95" s="21"/>
      <c r="B95" s="29"/>
      <c r="C95" s="21"/>
      <c r="D95" s="178" t="s">
        <v>510</v>
      </c>
      <c r="E95" s="179"/>
      <c r="F95" s="17"/>
      <c r="G95" s="17">
        <f>SUM(Table001__Page_2_314[EXTENDED TOTAL])</f>
        <v>21049875.5</v>
      </c>
      <c r="H95" s="17"/>
      <c r="I95" s="17">
        <f>SUM(Table001__Page_2_314[EXTENDED TOTAL2])</f>
        <v>20391931.620000001</v>
      </c>
      <c r="J95" s="17"/>
      <c r="K95" s="17">
        <f>SUM(Table001__Page_2_314[EXTENDED TOTAL3])</f>
        <v>22432475.359999999</v>
      </c>
      <c r="L95" s="17"/>
      <c r="M95" s="18">
        <f>SUM(Table001__Page_2_314[EXTENDED TOTAL4])</f>
        <v>0</v>
      </c>
      <c r="N95" s="14"/>
    </row>
    <row r="96" spans="1:14" hidden="1" x14ac:dyDescent="0.35">
      <c r="A96" s="14"/>
      <c r="B96" s="29"/>
      <c r="C96" s="14"/>
      <c r="D96" s="14"/>
      <c r="E96" s="16"/>
      <c r="F96" s="14"/>
      <c r="G96" s="14"/>
      <c r="H96" s="14"/>
      <c r="I96" s="14"/>
      <c r="J96" s="14"/>
      <c r="K96" s="14"/>
      <c r="L96" s="14"/>
      <c r="M96" s="14"/>
      <c r="N96" s="14"/>
    </row>
    <row r="97" spans="1:14" hidden="1" x14ac:dyDescent="0.35">
      <c r="A97" s="14"/>
      <c r="B97" s="29"/>
      <c r="C97" s="14"/>
      <c r="D97" s="188" t="s">
        <v>456</v>
      </c>
      <c r="E97" s="189"/>
      <c r="F97" s="36"/>
      <c r="G97" s="161" t="s">
        <v>457</v>
      </c>
      <c r="H97" s="36"/>
      <c r="I97" s="38">
        <f>SUM(I95-G95)</f>
        <v>-657943.87999999896</v>
      </c>
      <c r="J97" s="39"/>
      <c r="K97" s="38">
        <f>SUM(K95-G95)</f>
        <v>1382599.8599999994</v>
      </c>
      <c r="L97" s="39"/>
      <c r="M97" s="40">
        <f>SUM(M95-G95)</f>
        <v>-21049875.5</v>
      </c>
      <c r="N97" s="14"/>
    </row>
    <row r="98" spans="1:14" hidden="1" x14ac:dyDescent="0.35">
      <c r="I98" s="35"/>
      <c r="N98" s="14"/>
    </row>
    <row r="99" spans="1:14" hidden="1" x14ac:dyDescent="0.35">
      <c r="E99" s="190" t="s">
        <v>458</v>
      </c>
      <c r="F99" s="191"/>
      <c r="G99" s="37"/>
      <c r="H99" s="37"/>
      <c r="I99" s="41">
        <f>I97/G95</f>
        <v>-3.1256426195964859E-2</v>
      </c>
      <c r="J99" s="41"/>
      <c r="K99" s="41">
        <f>K97/G95</f>
        <v>6.5682092038976639E-2</v>
      </c>
      <c r="L99" s="41"/>
      <c r="M99" s="42">
        <f>M97/G95</f>
        <v>-1</v>
      </c>
      <c r="N99" s="14"/>
    </row>
    <row r="100" spans="1:14" x14ac:dyDescent="0.35">
      <c r="N100" s="14"/>
    </row>
    <row r="101" spans="1:14" x14ac:dyDescent="0.35">
      <c r="N101" s="14"/>
    </row>
    <row r="102" spans="1:14" x14ac:dyDescent="0.35">
      <c r="N102" s="14"/>
    </row>
    <row r="103" spans="1:14" x14ac:dyDescent="0.35">
      <c r="A103" s="67"/>
      <c r="N103" s="14"/>
    </row>
    <row r="104" spans="1:14" x14ac:dyDescent="0.35">
      <c r="N104" s="14"/>
    </row>
    <row r="105" spans="1:14" x14ac:dyDescent="0.35">
      <c r="N105" s="14"/>
    </row>
    <row r="106" spans="1:14" x14ac:dyDescent="0.35">
      <c r="N106" s="14"/>
    </row>
    <row r="107" spans="1:14" x14ac:dyDescent="0.35">
      <c r="H107" s="43"/>
      <c r="N107" s="14"/>
    </row>
    <row r="108" spans="1:14" x14ac:dyDescent="0.35">
      <c r="N108" s="14"/>
    </row>
    <row r="109" spans="1:14" x14ac:dyDescent="0.35">
      <c r="N109" s="14"/>
    </row>
    <row r="110" spans="1:14" x14ac:dyDescent="0.35">
      <c r="N110" s="14"/>
    </row>
    <row r="111" spans="1:14" x14ac:dyDescent="0.35">
      <c r="N111" s="14"/>
    </row>
    <row r="112" spans="1:14" x14ac:dyDescent="0.35">
      <c r="N112" s="14"/>
    </row>
    <row r="113" spans="14:14" x14ac:dyDescent="0.35">
      <c r="N113" s="14"/>
    </row>
    <row r="114" spans="14:14" x14ac:dyDescent="0.35">
      <c r="N114" s="14"/>
    </row>
    <row r="115" spans="14:14" x14ac:dyDescent="0.35">
      <c r="N115" s="14"/>
    </row>
    <row r="116" spans="14:14" x14ac:dyDescent="0.35">
      <c r="N116" s="14"/>
    </row>
    <row r="117" spans="14:14" x14ac:dyDescent="0.35">
      <c r="N117" s="14"/>
    </row>
    <row r="118" spans="14:14" x14ac:dyDescent="0.35">
      <c r="N118" s="14"/>
    </row>
    <row r="119" spans="14:14" x14ac:dyDescent="0.35">
      <c r="N119" s="14"/>
    </row>
    <row r="120" spans="14:14" x14ac:dyDescent="0.35">
      <c r="N120" s="14"/>
    </row>
    <row r="121" spans="14:14" x14ac:dyDescent="0.35">
      <c r="N121" s="14"/>
    </row>
    <row r="122" spans="14:14" ht="14.5" customHeight="1" x14ac:dyDescent="0.35">
      <c r="N122" s="14"/>
    </row>
    <row r="123" spans="14:14" ht="14.5" customHeight="1" x14ac:dyDescent="0.35">
      <c r="N123" s="14"/>
    </row>
  </sheetData>
  <mergeCells count="8">
    <mergeCell ref="J12:K12"/>
    <mergeCell ref="L12:M12"/>
    <mergeCell ref="D95:E95"/>
    <mergeCell ref="D97:E97"/>
    <mergeCell ref="E99:F99"/>
    <mergeCell ref="A12:E12"/>
    <mergeCell ref="F12:G12"/>
    <mergeCell ref="H12:I12"/>
  </mergeCells>
  <phoneticPr fontId="10" type="noConversion"/>
  <pageMargins left="0.7" right="0.7" top="0.75" bottom="0.75" header="0.3" footer="0.3"/>
  <pageSetup orientation="portrait" verticalDpi="0"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BBC7-126A-4868-928C-CDDF3A5A072F}">
  <dimension ref="A1:M44"/>
  <sheetViews>
    <sheetView zoomScale="90" zoomScaleNormal="90" workbookViewId="0">
      <selection activeCell="J27" sqref="J27:K28"/>
    </sheetView>
  </sheetViews>
  <sheetFormatPr defaultRowHeight="14.5" x14ac:dyDescent="0.35"/>
  <cols>
    <col min="1" max="1" width="20.81640625" bestFit="1" customWidth="1"/>
    <col min="2" max="2" width="21.453125" style="32" bestFit="1" customWidth="1"/>
    <col min="3" max="3" width="80" customWidth="1"/>
    <col min="4" max="4" width="32" customWidth="1"/>
    <col min="5" max="5" width="25.54296875" style="6" bestFit="1" customWidth="1"/>
    <col min="6" max="6" width="15" bestFit="1" customWidth="1"/>
    <col min="7" max="7" width="20.81640625" bestFit="1" customWidth="1"/>
    <col min="8" max="8" width="16" bestFit="1" customWidth="1"/>
    <col min="9" max="9" width="22" bestFit="1" customWidth="1"/>
    <col min="10" max="10" width="16" bestFit="1" customWidth="1"/>
    <col min="11" max="11" width="22" bestFit="1" customWidth="1"/>
    <col min="12" max="12" width="16" bestFit="1" customWidth="1"/>
    <col min="13" max="13" width="22" bestFit="1" customWidth="1"/>
    <col min="14" max="15" width="20.54296875" bestFit="1" customWidth="1"/>
  </cols>
  <sheetData>
    <row r="1" spans="1:13" x14ac:dyDescent="0.35">
      <c r="A1" s="14"/>
      <c r="B1" s="29"/>
      <c r="C1" s="14"/>
      <c r="D1" s="14"/>
      <c r="E1" s="16"/>
      <c r="F1" s="14"/>
      <c r="G1" s="14"/>
      <c r="H1" s="14"/>
      <c r="I1" s="14"/>
      <c r="J1" s="14"/>
      <c r="K1" s="14"/>
      <c r="L1" s="14"/>
      <c r="M1" s="14"/>
    </row>
    <row r="2" spans="1:13" x14ac:dyDescent="0.35">
      <c r="A2" s="14"/>
      <c r="B2" s="29"/>
      <c r="C2" s="14"/>
      <c r="D2" s="14"/>
      <c r="E2" s="16"/>
      <c r="F2" s="14"/>
      <c r="G2" s="14"/>
      <c r="H2" s="14"/>
      <c r="I2" s="14"/>
      <c r="J2" s="14"/>
      <c r="K2" s="14"/>
      <c r="L2" s="14"/>
      <c r="M2" s="14"/>
    </row>
    <row r="3" spans="1:13" ht="15.5" x14ac:dyDescent="0.35">
      <c r="A3" s="15" t="s">
        <v>0</v>
      </c>
      <c r="B3" s="29" t="s">
        <v>244</v>
      </c>
      <c r="C3" s="14"/>
      <c r="D3" s="15"/>
      <c r="E3" s="16"/>
      <c r="F3" s="14"/>
      <c r="G3" s="14"/>
      <c r="H3" s="14"/>
      <c r="I3" s="14"/>
      <c r="J3" s="14"/>
      <c r="K3" s="14"/>
      <c r="L3" s="14"/>
      <c r="M3" s="14"/>
    </row>
    <row r="4" spans="1:13" ht="15.5" x14ac:dyDescent="0.35">
      <c r="A4" s="15" t="s">
        <v>2</v>
      </c>
      <c r="B4" s="29" t="str">
        <f>VLOOKUP($B$3,DATA!$A$2:$E$80,3)</f>
        <v>Jackson</v>
      </c>
      <c r="C4" s="14"/>
      <c r="D4" s="15"/>
      <c r="E4" s="16"/>
      <c r="F4" s="14"/>
      <c r="G4" s="14"/>
      <c r="H4" s="14"/>
      <c r="I4" s="14"/>
      <c r="J4" s="14"/>
      <c r="K4" s="14"/>
      <c r="L4" s="14"/>
      <c r="M4" s="14"/>
    </row>
    <row r="5" spans="1:13" ht="15.5" x14ac:dyDescent="0.35">
      <c r="A5" s="15" t="s">
        <v>3</v>
      </c>
      <c r="B5" s="29" t="str">
        <f>VLOOKUP($B$3,DATA!$A$2:$E$80,4)</f>
        <v>McKellar-Sipes Regional</v>
      </c>
      <c r="C5" s="14"/>
      <c r="D5" s="15"/>
      <c r="E5" s="16"/>
      <c r="F5" s="14"/>
      <c r="G5" s="14"/>
      <c r="H5" s="14"/>
      <c r="I5" s="14"/>
      <c r="J5" s="14"/>
      <c r="K5" s="14"/>
      <c r="L5" s="14"/>
      <c r="M5" s="14"/>
    </row>
    <row r="6" spans="1:13" ht="15.5" x14ac:dyDescent="0.35">
      <c r="A6" s="15" t="s">
        <v>4</v>
      </c>
      <c r="B6" s="29" t="s">
        <v>386</v>
      </c>
      <c r="C6" s="14"/>
      <c r="D6" s="15"/>
      <c r="E6" s="16"/>
      <c r="F6" s="14"/>
      <c r="G6" s="14"/>
      <c r="H6" s="14"/>
      <c r="I6" s="14"/>
      <c r="J6" s="14"/>
      <c r="K6" s="14"/>
      <c r="L6" s="14"/>
      <c r="M6" s="14"/>
    </row>
    <row r="7" spans="1:13" ht="15.5" x14ac:dyDescent="0.35">
      <c r="A7" s="15" t="s">
        <v>6</v>
      </c>
      <c r="B7" t="s">
        <v>387</v>
      </c>
      <c r="C7" s="14"/>
      <c r="D7" s="15"/>
      <c r="E7" s="16"/>
      <c r="F7" s="14"/>
      <c r="G7" s="14"/>
      <c r="H7" s="14"/>
      <c r="I7" s="14"/>
      <c r="J7" s="14"/>
      <c r="K7" s="14"/>
      <c r="L7" s="14"/>
      <c r="M7" s="14"/>
    </row>
    <row r="8" spans="1:13" ht="15.5" x14ac:dyDescent="0.35">
      <c r="A8" s="15" t="s">
        <v>8</v>
      </c>
      <c r="B8" s="30">
        <v>45118</v>
      </c>
      <c r="C8" s="14"/>
      <c r="D8" s="15"/>
      <c r="E8" s="33"/>
      <c r="F8" s="14"/>
      <c r="G8" s="14"/>
      <c r="H8" s="14"/>
      <c r="I8" s="14"/>
      <c r="J8" s="14"/>
      <c r="K8" s="14"/>
      <c r="L8" s="14"/>
      <c r="M8" s="14"/>
    </row>
    <row r="9" spans="1:13" ht="15.5" x14ac:dyDescent="0.35">
      <c r="A9" s="15" t="s">
        <v>9</v>
      </c>
      <c r="B9" s="29" t="str">
        <f>VLOOKUP($B$3,DATA!$A$2:$E$80,2)</f>
        <v>Madison</v>
      </c>
      <c r="C9" s="14"/>
      <c r="D9" s="15"/>
      <c r="E9" s="16"/>
      <c r="F9" s="14"/>
      <c r="G9" s="14"/>
      <c r="H9" s="14"/>
      <c r="I9" s="14"/>
      <c r="J9" s="14"/>
      <c r="K9" s="14"/>
      <c r="L9" s="14"/>
      <c r="M9" s="14"/>
    </row>
    <row r="10" spans="1:13" ht="15.5" x14ac:dyDescent="0.35">
      <c r="A10" s="15" t="s">
        <v>10</v>
      </c>
      <c r="B10" s="29" t="str">
        <f>VLOOKUP($B$3,DATA!$A$2:$E$80,5)</f>
        <v>West</v>
      </c>
      <c r="C10" s="14"/>
      <c r="D10" s="15"/>
      <c r="E10" s="16"/>
      <c r="F10" s="14"/>
      <c r="G10" s="14"/>
      <c r="H10" s="14"/>
      <c r="I10" s="14"/>
    </row>
    <row r="11" spans="1:13" ht="16" thickBot="1" x14ac:dyDescent="0.4">
      <c r="A11" s="15"/>
      <c r="B11" s="29"/>
      <c r="C11" s="14"/>
      <c r="D11" s="15"/>
      <c r="E11" s="16"/>
      <c r="F11" s="14"/>
      <c r="G11" s="14"/>
      <c r="H11" s="14"/>
      <c r="I11" s="14"/>
    </row>
    <row r="12" spans="1:13" ht="16" thickBot="1" x14ac:dyDescent="0.4">
      <c r="A12" s="173" t="s">
        <v>879</v>
      </c>
      <c r="B12" s="174"/>
      <c r="C12" s="174"/>
      <c r="D12" s="174"/>
      <c r="E12" s="175"/>
      <c r="F12" s="173" t="s">
        <v>12</v>
      </c>
      <c r="G12" s="175"/>
      <c r="H12" s="173" t="s">
        <v>1313</v>
      </c>
      <c r="I12" s="175"/>
      <c r="J12" s="173" t="s">
        <v>880</v>
      </c>
      <c r="K12" s="175"/>
    </row>
    <row r="13" spans="1:13" x14ac:dyDescent="0.35">
      <c r="A13" s="16" t="s">
        <v>15</v>
      </c>
      <c r="B13" s="23" t="s">
        <v>396</v>
      </c>
      <c r="C13" s="16" t="s">
        <v>17</v>
      </c>
      <c r="D13" s="16" t="s">
        <v>18</v>
      </c>
      <c r="E13" s="16" t="s">
        <v>19</v>
      </c>
      <c r="F13" s="16" t="s">
        <v>20</v>
      </c>
      <c r="G13" s="16" t="s">
        <v>21</v>
      </c>
      <c r="H13" s="16" t="s">
        <v>22</v>
      </c>
      <c r="I13" s="16" t="s">
        <v>23</v>
      </c>
      <c r="J13" s="16" t="s">
        <v>24</v>
      </c>
      <c r="K13" s="16" t="s">
        <v>25</v>
      </c>
    </row>
    <row r="14" spans="1:13" x14ac:dyDescent="0.35">
      <c r="A14" s="46">
        <v>1</v>
      </c>
      <c r="B14" s="23" t="s">
        <v>483</v>
      </c>
      <c r="C14" s="93" t="s">
        <v>27</v>
      </c>
      <c r="D14" s="16" t="s">
        <v>28</v>
      </c>
      <c r="E14" s="46">
        <v>1</v>
      </c>
      <c r="F14" s="56">
        <v>40000</v>
      </c>
      <c r="G14" s="56">
        <v>40000</v>
      </c>
      <c r="H14" s="56">
        <v>66847</v>
      </c>
      <c r="I14" s="56">
        <v>66847</v>
      </c>
      <c r="J14" s="47">
        <v>16180.46</v>
      </c>
      <c r="K14" s="47">
        <v>16180.46</v>
      </c>
    </row>
    <row r="15" spans="1:13" x14ac:dyDescent="0.35">
      <c r="A15" s="46">
        <v>2</v>
      </c>
      <c r="B15" s="23" t="s">
        <v>881</v>
      </c>
      <c r="C15" s="45" t="s">
        <v>882</v>
      </c>
      <c r="D15" s="16" t="s">
        <v>28</v>
      </c>
      <c r="E15" s="46">
        <v>1</v>
      </c>
      <c r="F15" s="56">
        <v>153000</v>
      </c>
      <c r="G15" s="56">
        <v>153000</v>
      </c>
      <c r="H15" s="56">
        <v>255715</v>
      </c>
      <c r="I15" s="56">
        <v>255715</v>
      </c>
      <c r="J15" s="47">
        <v>260886.43</v>
      </c>
      <c r="K15" s="47">
        <v>260886.43</v>
      </c>
    </row>
    <row r="16" spans="1:13" ht="15" customHeight="1" x14ac:dyDescent="0.35">
      <c r="A16" s="46">
        <v>3</v>
      </c>
      <c r="B16" s="23" t="s">
        <v>883</v>
      </c>
      <c r="C16" s="45" t="s">
        <v>884</v>
      </c>
      <c r="D16" s="16" t="s">
        <v>28</v>
      </c>
      <c r="E16" s="46">
        <v>1</v>
      </c>
      <c r="F16" s="56">
        <v>45000</v>
      </c>
      <c r="G16" s="56">
        <v>45000</v>
      </c>
      <c r="H16" s="56">
        <v>91692</v>
      </c>
      <c r="I16" s="56">
        <v>91692</v>
      </c>
      <c r="J16" s="47">
        <v>78888.34</v>
      </c>
      <c r="K16" s="47">
        <v>78888.34</v>
      </c>
    </row>
    <row r="17" spans="1:11" ht="15" customHeight="1" x14ac:dyDescent="0.35">
      <c r="A17" s="46">
        <v>4</v>
      </c>
      <c r="B17" s="23" t="s">
        <v>885</v>
      </c>
      <c r="C17" s="45" t="s">
        <v>886</v>
      </c>
      <c r="D17" s="16" t="s">
        <v>28</v>
      </c>
      <c r="E17" s="46">
        <v>1</v>
      </c>
      <c r="F17" s="57">
        <v>116000</v>
      </c>
      <c r="G17" s="56">
        <v>116000</v>
      </c>
      <c r="H17" s="56">
        <v>243367</v>
      </c>
      <c r="I17" s="56">
        <v>243367</v>
      </c>
      <c r="J17" s="47">
        <v>182881.55</v>
      </c>
      <c r="K17" s="47">
        <v>182881.55</v>
      </c>
    </row>
    <row r="18" spans="1:11" x14ac:dyDescent="0.35">
      <c r="A18" s="46">
        <v>5</v>
      </c>
      <c r="B18" s="23" t="s">
        <v>887</v>
      </c>
      <c r="C18" s="45" t="s">
        <v>888</v>
      </c>
      <c r="D18" s="16" t="s">
        <v>28</v>
      </c>
      <c r="E18" s="46">
        <v>1</v>
      </c>
      <c r="F18" s="56">
        <v>4000</v>
      </c>
      <c r="G18" s="56">
        <v>4000</v>
      </c>
      <c r="H18" s="56">
        <v>2657</v>
      </c>
      <c r="I18" s="56">
        <v>2657</v>
      </c>
      <c r="J18" s="47">
        <v>17985.310000000001</v>
      </c>
      <c r="K18" s="47">
        <v>17985.310000000001</v>
      </c>
    </row>
    <row r="19" spans="1:11" ht="15" customHeight="1" x14ac:dyDescent="0.35">
      <c r="A19" s="46">
        <v>6</v>
      </c>
      <c r="B19" s="23" t="s">
        <v>889</v>
      </c>
      <c r="C19" s="45" t="s">
        <v>890</v>
      </c>
      <c r="D19" s="16" t="s">
        <v>28</v>
      </c>
      <c r="E19" s="48">
        <v>1</v>
      </c>
      <c r="F19" s="57">
        <v>9000</v>
      </c>
      <c r="G19" s="56">
        <v>9000</v>
      </c>
      <c r="H19" s="56">
        <v>8688</v>
      </c>
      <c r="I19" s="56">
        <v>8688</v>
      </c>
      <c r="J19" s="47">
        <v>4476.17</v>
      </c>
      <c r="K19" s="47">
        <v>4476.17</v>
      </c>
    </row>
    <row r="20" spans="1:11" x14ac:dyDescent="0.35">
      <c r="A20" s="46">
        <v>7</v>
      </c>
      <c r="B20" s="23" t="s">
        <v>891</v>
      </c>
      <c r="C20" s="93" t="s">
        <v>892</v>
      </c>
      <c r="D20" s="16" t="s">
        <v>28</v>
      </c>
      <c r="E20" s="46">
        <v>1</v>
      </c>
      <c r="F20" s="57">
        <v>18000</v>
      </c>
      <c r="G20" s="56">
        <v>18000</v>
      </c>
      <c r="H20" s="56">
        <v>11837</v>
      </c>
      <c r="I20" s="56">
        <v>11837</v>
      </c>
      <c r="J20" s="47">
        <v>38251.26</v>
      </c>
      <c r="K20" s="47">
        <v>38251.26</v>
      </c>
    </row>
    <row r="21" spans="1:11" x14ac:dyDescent="0.35">
      <c r="A21" s="46">
        <v>8</v>
      </c>
      <c r="B21" s="23" t="s">
        <v>754</v>
      </c>
      <c r="C21" s="93" t="s">
        <v>893</v>
      </c>
      <c r="D21" s="16" t="s">
        <v>28</v>
      </c>
      <c r="E21" s="46">
        <v>1</v>
      </c>
      <c r="F21" s="57">
        <v>15000</v>
      </c>
      <c r="G21" s="56">
        <v>15000</v>
      </c>
      <c r="H21" s="56">
        <v>48180</v>
      </c>
      <c r="I21" s="56">
        <v>48180</v>
      </c>
      <c r="J21" s="47">
        <v>18516.400000000001</v>
      </c>
      <c r="K21" s="47">
        <v>18516.400000000001</v>
      </c>
    </row>
    <row r="22" spans="1:11" ht="15" thickBot="1" x14ac:dyDescent="0.4">
      <c r="A22" s="46">
        <v>9</v>
      </c>
      <c r="B22" s="23" t="s">
        <v>881</v>
      </c>
      <c r="C22" s="45" t="s">
        <v>894</v>
      </c>
      <c r="D22" s="16" t="s">
        <v>28</v>
      </c>
      <c r="E22" s="46">
        <v>1</v>
      </c>
      <c r="F22" s="56">
        <v>23500</v>
      </c>
      <c r="G22" s="56">
        <v>23500</v>
      </c>
      <c r="H22" s="56">
        <v>24128</v>
      </c>
      <c r="I22" s="56">
        <v>24128</v>
      </c>
      <c r="J22" s="47">
        <v>25204.44</v>
      </c>
      <c r="K22" s="47">
        <v>25204.44</v>
      </c>
    </row>
    <row r="23" spans="1:11" ht="16" thickBot="1" x14ac:dyDescent="0.4">
      <c r="A23" s="21"/>
      <c r="B23" s="29"/>
      <c r="C23" s="21"/>
      <c r="D23" s="194" t="s">
        <v>1314</v>
      </c>
      <c r="E23" s="195"/>
      <c r="F23" s="17"/>
      <c r="G23" s="17">
        <f>SUM(Table001__Page_2_316132734[EXTENDED TOTAL])</f>
        <v>423500</v>
      </c>
      <c r="H23" s="17"/>
      <c r="I23" s="17">
        <f>SUM(Table001__Page_2_316132734[EXTENDED TOTAL2])</f>
        <v>753111</v>
      </c>
      <c r="J23" s="150"/>
      <c r="K23" s="18">
        <f>SUM(Table001__Page_2_316132734[EXTENDED TOTAL3])</f>
        <v>643270.3600000001</v>
      </c>
    </row>
    <row r="24" spans="1:11" ht="15" thickBot="1" x14ac:dyDescent="0.4">
      <c r="A24" s="14"/>
      <c r="B24" s="29"/>
      <c r="C24" s="14"/>
      <c r="D24" s="14"/>
      <c r="E24" s="16"/>
      <c r="F24" s="14"/>
      <c r="G24" s="14"/>
      <c r="H24" s="14"/>
      <c r="I24" s="14"/>
    </row>
    <row r="25" spans="1:11" ht="16" thickBot="1" x14ac:dyDescent="0.4">
      <c r="A25" s="173" t="s">
        <v>1312</v>
      </c>
      <c r="B25" s="174"/>
      <c r="C25" s="174"/>
      <c r="D25" s="174"/>
      <c r="E25" s="175"/>
      <c r="F25" s="173" t="s">
        <v>12</v>
      </c>
      <c r="G25" s="175"/>
      <c r="H25" s="173" t="s">
        <v>1313</v>
      </c>
      <c r="I25" s="175"/>
      <c r="J25" s="173" t="s">
        <v>880</v>
      </c>
      <c r="K25" s="175"/>
    </row>
    <row r="26" spans="1:11" x14ac:dyDescent="0.35">
      <c r="A26" s="16" t="s">
        <v>15</v>
      </c>
      <c r="B26" s="23" t="s">
        <v>396</v>
      </c>
      <c r="C26" s="16" t="s">
        <v>17</v>
      </c>
      <c r="D26" s="16" t="s">
        <v>18</v>
      </c>
      <c r="E26" s="16" t="s">
        <v>19</v>
      </c>
      <c r="F26" s="16" t="s">
        <v>20</v>
      </c>
      <c r="G26" s="16" t="s">
        <v>21</v>
      </c>
      <c r="H26" s="16" t="s">
        <v>22</v>
      </c>
      <c r="I26" s="16" t="s">
        <v>23</v>
      </c>
      <c r="J26" s="16" t="s">
        <v>24</v>
      </c>
      <c r="K26" s="16" t="s">
        <v>25</v>
      </c>
    </row>
    <row r="27" spans="1:11" x14ac:dyDescent="0.35">
      <c r="A27" s="46">
        <v>10</v>
      </c>
      <c r="B27" s="23" t="s">
        <v>885</v>
      </c>
      <c r="C27" s="93" t="s">
        <v>895</v>
      </c>
      <c r="D27" s="16" t="s">
        <v>28</v>
      </c>
      <c r="E27" s="46">
        <v>1</v>
      </c>
      <c r="F27" s="56">
        <v>60000</v>
      </c>
      <c r="G27" s="56">
        <v>60000</v>
      </c>
      <c r="H27" s="59">
        <v>83577</v>
      </c>
      <c r="I27" s="59">
        <v>83577</v>
      </c>
      <c r="J27" s="22">
        <v>43141.85</v>
      </c>
      <c r="K27" s="22">
        <v>43141.85</v>
      </c>
    </row>
    <row r="28" spans="1:11" ht="15" thickBot="1" x14ac:dyDescent="0.4">
      <c r="A28" s="20">
        <v>11</v>
      </c>
      <c r="B28" s="31" t="s">
        <v>881</v>
      </c>
      <c r="C28" s="27" t="s">
        <v>896</v>
      </c>
      <c r="D28" s="20" t="s">
        <v>28</v>
      </c>
      <c r="E28" s="46">
        <v>1</v>
      </c>
      <c r="F28" s="59">
        <v>150000</v>
      </c>
      <c r="G28" s="59">
        <v>150000</v>
      </c>
      <c r="H28" s="59" t="s">
        <v>897</v>
      </c>
      <c r="I28" s="59" t="s">
        <v>898</v>
      </c>
      <c r="J28" s="22" t="s">
        <v>897</v>
      </c>
      <c r="K28" s="22">
        <v>159986</v>
      </c>
    </row>
    <row r="29" spans="1:11" ht="15.5" x14ac:dyDescent="0.35">
      <c r="A29" s="21"/>
      <c r="B29" s="29"/>
      <c r="C29" s="21"/>
      <c r="D29" s="214" t="s">
        <v>899</v>
      </c>
      <c r="E29" s="215"/>
      <c r="F29" s="137"/>
      <c r="G29" s="137">
        <f>G23+G28</f>
        <v>573500</v>
      </c>
      <c r="H29" s="137"/>
      <c r="I29" s="146">
        <f>I23</f>
        <v>753111</v>
      </c>
      <c r="J29" s="144"/>
      <c r="K29" s="140">
        <f>K23+K28</f>
        <v>803256.3600000001</v>
      </c>
    </row>
    <row r="30" spans="1:11" x14ac:dyDescent="0.35">
      <c r="D30" s="210" t="s">
        <v>900</v>
      </c>
      <c r="E30" s="211"/>
      <c r="F30" s="129"/>
      <c r="G30" s="149">
        <f>G23+G27</f>
        <v>483500</v>
      </c>
      <c r="H30" s="130"/>
      <c r="I30" s="147">
        <f>I23+I27</f>
        <v>836688</v>
      </c>
      <c r="J30" s="3"/>
      <c r="K30" s="141">
        <f>K23+K27</f>
        <v>686412.21000000008</v>
      </c>
    </row>
    <row r="31" spans="1:11" x14ac:dyDescent="0.35">
      <c r="D31" s="210" t="s">
        <v>901</v>
      </c>
      <c r="E31" s="211"/>
      <c r="F31" s="129"/>
      <c r="G31" s="130">
        <f>G23+G27+G28</f>
        <v>633500</v>
      </c>
      <c r="H31" s="130"/>
      <c r="I31" s="147">
        <f>I23+I27</f>
        <v>836688</v>
      </c>
      <c r="J31" s="3"/>
      <c r="K31" s="141">
        <f>K23+K27+K28</f>
        <v>846398.21000000008</v>
      </c>
    </row>
    <row r="32" spans="1:11" x14ac:dyDescent="0.35">
      <c r="D32" s="210" t="s">
        <v>902</v>
      </c>
      <c r="E32" s="211"/>
      <c r="F32" s="129"/>
      <c r="G32" s="128" t="s">
        <v>727</v>
      </c>
      <c r="H32" s="129"/>
      <c r="I32" s="147">
        <f>I31-G31</f>
        <v>203188</v>
      </c>
      <c r="J32" s="3"/>
      <c r="K32" s="141">
        <f>K31-G31</f>
        <v>212898.21000000008</v>
      </c>
    </row>
    <row r="33" spans="4:11" ht="15" thickBot="1" x14ac:dyDescent="0.4">
      <c r="D33" s="212" t="s">
        <v>903</v>
      </c>
      <c r="E33" s="213"/>
      <c r="F33" s="139"/>
      <c r="G33" s="143" t="s">
        <v>727</v>
      </c>
      <c r="H33" s="139"/>
      <c r="I33" s="148">
        <f>I32/G31</f>
        <v>0.32073875295974741</v>
      </c>
      <c r="J33" s="145"/>
      <c r="K33" s="142">
        <f>K32/G31</f>
        <v>0.33606662983425428</v>
      </c>
    </row>
    <row r="43" spans="4:11" ht="14.5" customHeight="1" x14ac:dyDescent="0.35"/>
    <row r="44" spans="4:11" ht="14.5" customHeight="1" x14ac:dyDescent="0.35"/>
  </sheetData>
  <mergeCells count="14">
    <mergeCell ref="D31:E31"/>
    <mergeCell ref="D32:E32"/>
    <mergeCell ref="D33:E33"/>
    <mergeCell ref="J12:K12"/>
    <mergeCell ref="J25:K25"/>
    <mergeCell ref="A25:E25"/>
    <mergeCell ref="F25:G25"/>
    <mergeCell ref="H25:I25"/>
    <mergeCell ref="D29:E29"/>
    <mergeCell ref="D30:E30"/>
    <mergeCell ref="A12:E12"/>
    <mergeCell ref="F12:G12"/>
    <mergeCell ref="H12:I12"/>
    <mergeCell ref="D23:E23"/>
  </mergeCells>
  <phoneticPr fontId="10" type="noConversion"/>
  <pageMargins left="0.7" right="0.7" top="0.75" bottom="0.75" header="0.3" footer="0.3"/>
  <pageSetup orientation="portrait" verticalDpi="0"/>
  <drawing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62451-24C2-4F6E-8EE8-13CEA640DA20}">
  <dimension ref="A1:Q70"/>
  <sheetViews>
    <sheetView zoomScale="90" zoomScaleNormal="90" workbookViewId="0">
      <selection activeCell="P14" sqref="P14:Q40"/>
    </sheetView>
  </sheetViews>
  <sheetFormatPr defaultRowHeight="14.5" x14ac:dyDescent="0.35"/>
  <cols>
    <col min="1" max="1" width="20.81640625" bestFit="1" customWidth="1"/>
    <col min="2" max="2" width="21.453125" style="32" bestFit="1" customWidth="1"/>
    <col min="3" max="3" width="64" bestFit="1" customWidth="1"/>
    <col min="4" max="4" width="10" bestFit="1" customWidth="1"/>
    <col min="5" max="5" width="25.54296875" style="6" bestFit="1" customWidth="1"/>
    <col min="6" max="6" width="15" bestFit="1" customWidth="1"/>
    <col min="7" max="7" width="20.81640625" bestFit="1" customWidth="1"/>
    <col min="8" max="8" width="16" bestFit="1" customWidth="1"/>
    <col min="9" max="9" width="22" bestFit="1" customWidth="1"/>
    <col min="10" max="10" width="16" bestFit="1" customWidth="1"/>
    <col min="11" max="11" width="22" bestFit="1" customWidth="1"/>
    <col min="12" max="12" width="16" customWidth="1"/>
    <col min="13" max="13" width="18.54296875" customWidth="1"/>
    <col min="14" max="14" width="15.54296875" bestFit="1" customWidth="1"/>
    <col min="15" max="15" width="18.54296875" customWidth="1"/>
    <col min="16" max="16" width="15.54296875" bestFit="1" customWidth="1"/>
    <col min="17" max="17" width="21.54296875" bestFit="1" customWidth="1"/>
  </cols>
  <sheetData>
    <row r="1" spans="1:17" x14ac:dyDescent="0.35">
      <c r="A1" s="14"/>
      <c r="B1" s="29"/>
      <c r="C1" s="14"/>
      <c r="D1" s="14"/>
      <c r="E1" s="16"/>
      <c r="F1" s="14"/>
      <c r="G1" s="14"/>
      <c r="H1" s="14"/>
      <c r="I1" s="14"/>
      <c r="J1" s="14"/>
      <c r="K1" s="14"/>
      <c r="L1" s="14"/>
      <c r="M1" s="14"/>
      <c r="N1" s="14"/>
    </row>
    <row r="2" spans="1:17" x14ac:dyDescent="0.35">
      <c r="A2" s="14"/>
      <c r="B2" s="29"/>
      <c r="C2" s="14"/>
      <c r="D2" s="14"/>
      <c r="E2" s="16"/>
      <c r="F2" s="14"/>
      <c r="G2" s="14"/>
      <c r="H2" s="14"/>
      <c r="I2" s="14"/>
      <c r="J2" s="14"/>
      <c r="K2" s="14"/>
      <c r="L2" s="14"/>
      <c r="M2" s="14"/>
      <c r="N2" s="14"/>
    </row>
    <row r="3" spans="1:17" ht="15.5" x14ac:dyDescent="0.35">
      <c r="A3" s="15" t="s">
        <v>0</v>
      </c>
      <c r="B3" s="29" t="s">
        <v>244</v>
      </c>
      <c r="C3" s="14"/>
      <c r="D3" s="15"/>
      <c r="E3" s="16"/>
      <c r="F3" s="14"/>
      <c r="G3" s="14"/>
      <c r="H3" s="14"/>
      <c r="I3" s="14"/>
      <c r="J3" s="14"/>
      <c r="K3" s="14"/>
      <c r="L3" s="14"/>
      <c r="M3" s="14"/>
      <c r="N3" s="14"/>
    </row>
    <row r="4" spans="1:17" ht="15.5" x14ac:dyDescent="0.35">
      <c r="A4" s="15" t="s">
        <v>2</v>
      </c>
      <c r="B4" s="29" t="str">
        <f>VLOOKUP($B$3,DATA!$A$2:$E$80,3)</f>
        <v>Jackson</v>
      </c>
      <c r="C4" s="14"/>
      <c r="D4" s="15"/>
      <c r="E4" s="16"/>
      <c r="F4" s="14"/>
      <c r="G4" s="14"/>
      <c r="H4" s="14"/>
      <c r="I4" s="14"/>
      <c r="J4" s="14"/>
      <c r="K4" s="14"/>
      <c r="L4" s="14"/>
      <c r="M4" s="14"/>
      <c r="N4" s="14"/>
    </row>
    <row r="5" spans="1:17" ht="15.5" x14ac:dyDescent="0.35">
      <c r="A5" s="15" t="s">
        <v>3</v>
      </c>
      <c r="B5" s="29" t="str">
        <f>VLOOKUP($B$3,DATA!$A$2:$E$80,4)</f>
        <v>McKellar-Sipes Regional</v>
      </c>
      <c r="C5" s="14"/>
      <c r="D5" s="15"/>
      <c r="E5" s="16"/>
      <c r="F5" s="14"/>
      <c r="G5" s="14"/>
      <c r="H5" s="14"/>
      <c r="I5" s="14"/>
      <c r="J5" s="14"/>
      <c r="K5" s="14"/>
      <c r="L5" s="14"/>
      <c r="M5" s="14"/>
      <c r="N5" s="14"/>
    </row>
    <row r="6" spans="1:17" ht="15.5" x14ac:dyDescent="0.35">
      <c r="A6" s="15" t="s">
        <v>4</v>
      </c>
      <c r="B6" s="29" t="s">
        <v>390</v>
      </c>
      <c r="C6" s="14"/>
      <c r="D6" s="15"/>
      <c r="E6" s="16"/>
      <c r="F6" s="14"/>
      <c r="G6" s="14"/>
      <c r="H6" s="14"/>
      <c r="I6" s="14"/>
      <c r="J6" s="14"/>
      <c r="K6" s="14"/>
      <c r="L6" s="14"/>
      <c r="M6" s="14"/>
      <c r="N6" s="14"/>
    </row>
    <row r="7" spans="1:17" ht="15.5" x14ac:dyDescent="0.35">
      <c r="A7" s="15" t="s">
        <v>6</v>
      </c>
      <c r="B7" s="44"/>
      <c r="C7" s="14"/>
      <c r="D7" s="15"/>
      <c r="E7" s="16"/>
      <c r="F7" s="14"/>
      <c r="G7" s="14"/>
      <c r="H7" s="14"/>
      <c r="I7" s="14"/>
      <c r="J7" s="14"/>
      <c r="K7" s="14"/>
      <c r="L7" s="14"/>
      <c r="M7" s="14"/>
      <c r="N7" s="14"/>
    </row>
    <row r="8" spans="1:17" ht="15.5" x14ac:dyDescent="0.35">
      <c r="A8" s="15" t="s">
        <v>8</v>
      </c>
      <c r="B8" s="30">
        <v>45279</v>
      </c>
      <c r="C8" s="14"/>
      <c r="D8" s="15"/>
      <c r="E8" s="33"/>
      <c r="F8" s="14"/>
      <c r="G8" s="14"/>
      <c r="H8" s="14"/>
      <c r="I8" s="14"/>
      <c r="J8" s="14"/>
      <c r="K8" s="14"/>
      <c r="L8" s="14"/>
      <c r="M8" s="14"/>
      <c r="N8" s="14"/>
    </row>
    <row r="9" spans="1:17" ht="15.5" x14ac:dyDescent="0.35">
      <c r="A9" s="15" t="s">
        <v>9</v>
      </c>
      <c r="B9" s="29" t="str">
        <f>VLOOKUP($B$3,DATA!$A$2:$E$80,2)</f>
        <v>Madison</v>
      </c>
      <c r="C9" s="14"/>
      <c r="D9" s="15"/>
      <c r="E9" s="16"/>
      <c r="F9" s="14"/>
      <c r="G9" s="14"/>
      <c r="H9" s="14"/>
      <c r="I9" s="14"/>
      <c r="J9" s="14"/>
      <c r="K9" s="14"/>
      <c r="L9" s="14"/>
      <c r="M9" s="14"/>
      <c r="N9" s="14"/>
    </row>
    <row r="10" spans="1:17" ht="15.5" x14ac:dyDescent="0.35">
      <c r="A10" s="15" t="s">
        <v>10</v>
      </c>
      <c r="B10" s="29" t="str">
        <f>VLOOKUP($B$3,DATA!$A$2:$E$80,5)</f>
        <v>West</v>
      </c>
      <c r="C10" s="14"/>
      <c r="D10" s="15"/>
      <c r="E10" s="16"/>
      <c r="F10" s="14"/>
      <c r="G10" s="14"/>
      <c r="H10" s="14"/>
      <c r="I10" s="14"/>
      <c r="J10" s="14"/>
      <c r="K10" s="14"/>
      <c r="L10" s="14"/>
      <c r="M10" s="14"/>
      <c r="N10" s="14"/>
    </row>
    <row r="11" spans="1:17" ht="16" thickBot="1" x14ac:dyDescent="0.4">
      <c r="A11" s="15"/>
      <c r="B11" s="29"/>
      <c r="C11" s="14"/>
      <c r="D11" s="15"/>
      <c r="E11" s="16"/>
      <c r="F11" s="14"/>
      <c r="G11" s="14"/>
      <c r="H11" s="14"/>
      <c r="I11" s="14"/>
      <c r="J11" s="14"/>
      <c r="K11" s="14"/>
      <c r="L11" s="14"/>
      <c r="M11" s="14"/>
      <c r="N11" s="14"/>
    </row>
    <row r="12" spans="1:17" ht="16" thickBot="1" x14ac:dyDescent="0.4">
      <c r="A12" s="173" t="s">
        <v>904</v>
      </c>
      <c r="B12" s="174"/>
      <c r="C12" s="174"/>
      <c r="D12" s="174"/>
      <c r="E12" s="175"/>
      <c r="F12" s="173" t="s">
        <v>12</v>
      </c>
      <c r="G12" s="175"/>
      <c r="H12" s="173" t="s">
        <v>905</v>
      </c>
      <c r="I12" s="175"/>
      <c r="J12" s="173" t="s">
        <v>906</v>
      </c>
      <c r="K12" s="175"/>
      <c r="L12" s="173" t="s">
        <v>907</v>
      </c>
      <c r="M12" s="175"/>
      <c r="N12" s="173" t="s">
        <v>908</v>
      </c>
      <c r="O12" s="175"/>
      <c r="P12" s="173" t="s">
        <v>909</v>
      </c>
      <c r="Q12" s="175"/>
    </row>
    <row r="13" spans="1:17" ht="31" customHeight="1" x14ac:dyDescent="0.35">
      <c r="A13" s="16" t="s">
        <v>15</v>
      </c>
      <c r="B13" s="23" t="s">
        <v>396</v>
      </c>
      <c r="C13" s="16" t="s">
        <v>17</v>
      </c>
      <c r="D13" s="16" t="s">
        <v>18</v>
      </c>
      <c r="E13" s="16" t="s">
        <v>19</v>
      </c>
      <c r="F13" s="16" t="s">
        <v>20</v>
      </c>
      <c r="G13" s="16" t="s">
        <v>21</v>
      </c>
      <c r="H13" s="16" t="s">
        <v>22</v>
      </c>
      <c r="I13" s="16" t="s">
        <v>23</v>
      </c>
      <c r="J13" s="16" t="s">
        <v>24</v>
      </c>
      <c r="K13" s="16" t="s">
        <v>25</v>
      </c>
      <c r="L13" s="16" t="s">
        <v>581</v>
      </c>
      <c r="M13" s="16" t="s">
        <v>582</v>
      </c>
      <c r="N13" s="16" t="s">
        <v>579</v>
      </c>
      <c r="O13" s="16" t="s">
        <v>580</v>
      </c>
      <c r="P13" s="16" t="s">
        <v>910</v>
      </c>
      <c r="Q13" s="16" t="s">
        <v>911</v>
      </c>
    </row>
    <row r="14" spans="1:17" x14ac:dyDescent="0.35">
      <c r="A14" s="46">
        <v>1</v>
      </c>
      <c r="B14" s="23" t="s">
        <v>912</v>
      </c>
      <c r="C14" s="24" t="s">
        <v>913</v>
      </c>
      <c r="D14" s="63" t="s">
        <v>425</v>
      </c>
      <c r="E14" s="46">
        <v>1</v>
      </c>
      <c r="F14" s="78">
        <v>5000</v>
      </c>
      <c r="G14" s="78">
        <v>5000</v>
      </c>
      <c r="H14" s="78">
        <v>2750</v>
      </c>
      <c r="I14" s="78">
        <v>2750</v>
      </c>
      <c r="J14" s="78">
        <v>2750</v>
      </c>
      <c r="K14" s="78">
        <v>2750</v>
      </c>
      <c r="L14" s="26">
        <v>3279</v>
      </c>
      <c r="M14" s="26">
        <v>3279</v>
      </c>
      <c r="N14" s="22">
        <v>4649.71</v>
      </c>
      <c r="O14" s="22">
        <v>4649.71</v>
      </c>
      <c r="P14" s="22">
        <v>1000</v>
      </c>
      <c r="Q14" s="22">
        <v>1000</v>
      </c>
    </row>
    <row r="15" spans="1:17" x14ac:dyDescent="0.35">
      <c r="A15" s="46">
        <v>2</v>
      </c>
      <c r="B15" s="23" t="s">
        <v>914</v>
      </c>
      <c r="C15" s="24" t="s">
        <v>480</v>
      </c>
      <c r="D15" s="68" t="s">
        <v>407</v>
      </c>
      <c r="E15" s="46">
        <v>600</v>
      </c>
      <c r="F15" s="78">
        <v>10</v>
      </c>
      <c r="G15" s="78">
        <v>6000</v>
      </c>
      <c r="H15" s="78">
        <v>6</v>
      </c>
      <c r="I15" s="78">
        <v>3600</v>
      </c>
      <c r="J15" s="78">
        <v>6</v>
      </c>
      <c r="K15" s="78">
        <v>3600</v>
      </c>
      <c r="L15" s="26">
        <v>6</v>
      </c>
      <c r="M15" s="26">
        <v>3600</v>
      </c>
      <c r="N15" s="22">
        <v>8.9700000000000006</v>
      </c>
      <c r="O15" s="22">
        <v>5382</v>
      </c>
      <c r="P15" s="22">
        <v>6.25</v>
      </c>
      <c r="Q15" s="22">
        <v>3750</v>
      </c>
    </row>
    <row r="16" spans="1:17" x14ac:dyDescent="0.35">
      <c r="A16" s="46">
        <v>3</v>
      </c>
      <c r="B16" s="23" t="s">
        <v>915</v>
      </c>
      <c r="C16" s="24" t="s">
        <v>916</v>
      </c>
      <c r="D16" s="63" t="s">
        <v>478</v>
      </c>
      <c r="E16" s="46">
        <v>5</v>
      </c>
      <c r="F16" s="78">
        <v>350</v>
      </c>
      <c r="G16" s="78">
        <v>1750</v>
      </c>
      <c r="H16" s="78">
        <v>400</v>
      </c>
      <c r="I16" s="78">
        <v>2000</v>
      </c>
      <c r="J16" s="78">
        <v>400</v>
      </c>
      <c r="K16" s="78">
        <v>2000</v>
      </c>
      <c r="L16" s="26">
        <v>252</v>
      </c>
      <c r="M16" s="26">
        <v>1260</v>
      </c>
      <c r="N16" s="22">
        <v>3321.22</v>
      </c>
      <c r="O16" s="22">
        <v>16606.099999999999</v>
      </c>
      <c r="P16" s="22">
        <v>350</v>
      </c>
      <c r="Q16" s="22">
        <v>1750</v>
      </c>
    </row>
    <row r="17" spans="1:17" x14ac:dyDescent="0.35">
      <c r="A17" s="46">
        <v>4</v>
      </c>
      <c r="B17" s="23" t="s">
        <v>917</v>
      </c>
      <c r="C17" s="24" t="s">
        <v>918</v>
      </c>
      <c r="D17" s="68" t="s">
        <v>478</v>
      </c>
      <c r="E17" s="46">
        <v>1</v>
      </c>
      <c r="F17" s="78">
        <v>2500</v>
      </c>
      <c r="G17" s="78">
        <v>2500</v>
      </c>
      <c r="H17" s="78">
        <v>1700</v>
      </c>
      <c r="I17" s="78">
        <v>1700</v>
      </c>
      <c r="J17" s="78">
        <v>1600</v>
      </c>
      <c r="K17" s="78">
        <v>1600</v>
      </c>
      <c r="L17" s="26">
        <v>448</v>
      </c>
      <c r="M17" s="26">
        <v>448</v>
      </c>
      <c r="N17" s="22">
        <v>3321.23</v>
      </c>
      <c r="O17" s="22">
        <v>3321.23</v>
      </c>
      <c r="P17" s="22">
        <v>2750</v>
      </c>
      <c r="Q17" s="22">
        <v>2750</v>
      </c>
    </row>
    <row r="18" spans="1:17" x14ac:dyDescent="0.35">
      <c r="A18" s="46">
        <v>5</v>
      </c>
      <c r="B18" s="23" t="s">
        <v>483</v>
      </c>
      <c r="C18" s="24" t="s">
        <v>484</v>
      </c>
      <c r="D18" s="63" t="s">
        <v>28</v>
      </c>
      <c r="E18" s="48">
        <v>1</v>
      </c>
      <c r="F18" s="77">
        <v>35000</v>
      </c>
      <c r="G18" s="78">
        <v>35000</v>
      </c>
      <c r="H18" s="77">
        <v>31100</v>
      </c>
      <c r="I18" s="78">
        <v>31100</v>
      </c>
      <c r="J18" s="77">
        <v>37000</v>
      </c>
      <c r="K18" s="78">
        <v>37000</v>
      </c>
      <c r="L18" s="26">
        <v>37538</v>
      </c>
      <c r="M18" s="26">
        <v>37538</v>
      </c>
      <c r="N18" s="22">
        <v>30555.26</v>
      </c>
      <c r="O18" s="22">
        <v>30555.26</v>
      </c>
      <c r="P18" s="22">
        <v>45000</v>
      </c>
      <c r="Q18" s="22">
        <v>45000</v>
      </c>
    </row>
    <row r="19" spans="1:17" x14ac:dyDescent="0.35">
      <c r="A19" s="46">
        <v>6</v>
      </c>
      <c r="B19" s="23" t="s">
        <v>502</v>
      </c>
      <c r="C19" s="24" t="s">
        <v>427</v>
      </c>
      <c r="D19" s="68" t="s">
        <v>428</v>
      </c>
      <c r="E19" s="46">
        <v>600</v>
      </c>
      <c r="F19" s="77">
        <v>15</v>
      </c>
      <c r="G19" s="78">
        <v>9000</v>
      </c>
      <c r="H19" s="78">
        <v>40</v>
      </c>
      <c r="I19" s="78">
        <v>24000</v>
      </c>
      <c r="J19" s="78">
        <v>22</v>
      </c>
      <c r="K19" s="78">
        <v>13200</v>
      </c>
      <c r="L19" s="26">
        <v>26</v>
      </c>
      <c r="M19" s="26">
        <v>15600</v>
      </c>
      <c r="N19" s="22">
        <v>34.74</v>
      </c>
      <c r="O19" s="22">
        <v>20844</v>
      </c>
      <c r="P19" s="22">
        <v>25</v>
      </c>
      <c r="Q19" s="22">
        <v>15000</v>
      </c>
    </row>
    <row r="20" spans="1:17" x14ac:dyDescent="0.35">
      <c r="A20" s="46">
        <v>7</v>
      </c>
      <c r="B20" s="23" t="s">
        <v>775</v>
      </c>
      <c r="C20" s="24" t="s">
        <v>778</v>
      </c>
      <c r="D20" s="63" t="s">
        <v>428</v>
      </c>
      <c r="E20" s="46">
        <v>425</v>
      </c>
      <c r="F20" s="78">
        <v>25</v>
      </c>
      <c r="G20" s="78">
        <v>10625</v>
      </c>
      <c r="H20" s="78">
        <v>27</v>
      </c>
      <c r="I20" s="78">
        <v>11475</v>
      </c>
      <c r="J20" s="78">
        <v>40</v>
      </c>
      <c r="K20" s="78">
        <v>17000</v>
      </c>
      <c r="L20" s="26">
        <v>20</v>
      </c>
      <c r="M20" s="26">
        <v>8500</v>
      </c>
      <c r="N20" s="22">
        <v>31.82</v>
      </c>
      <c r="O20" s="22">
        <v>13523.5</v>
      </c>
      <c r="P20" s="22">
        <v>25</v>
      </c>
      <c r="Q20" s="22">
        <v>10625</v>
      </c>
    </row>
    <row r="21" spans="1:17" x14ac:dyDescent="0.35">
      <c r="A21" s="46">
        <v>8</v>
      </c>
      <c r="B21" s="23" t="s">
        <v>777</v>
      </c>
      <c r="C21" s="24" t="s">
        <v>776</v>
      </c>
      <c r="D21" s="68" t="s">
        <v>428</v>
      </c>
      <c r="E21" s="46">
        <v>300</v>
      </c>
      <c r="F21" s="77">
        <v>20</v>
      </c>
      <c r="G21" s="78">
        <v>6000</v>
      </c>
      <c r="H21" s="77">
        <v>45</v>
      </c>
      <c r="I21" s="78">
        <v>13500</v>
      </c>
      <c r="J21" s="77">
        <v>19</v>
      </c>
      <c r="K21" s="78">
        <v>5700</v>
      </c>
      <c r="L21" s="26">
        <v>22</v>
      </c>
      <c r="M21" s="26">
        <v>6600</v>
      </c>
      <c r="N21" s="22">
        <v>36.35</v>
      </c>
      <c r="O21" s="22">
        <v>10905</v>
      </c>
      <c r="P21" s="22">
        <v>25</v>
      </c>
      <c r="Q21" s="22">
        <v>7500</v>
      </c>
    </row>
    <row r="22" spans="1:17" x14ac:dyDescent="0.35">
      <c r="A22" s="46">
        <v>9</v>
      </c>
      <c r="B22" s="23" t="s">
        <v>824</v>
      </c>
      <c r="C22" s="24" t="s">
        <v>919</v>
      </c>
      <c r="D22" s="63" t="s">
        <v>412</v>
      </c>
      <c r="E22" s="46">
        <v>1765</v>
      </c>
      <c r="F22" s="78">
        <v>32</v>
      </c>
      <c r="G22" s="78">
        <v>56480</v>
      </c>
      <c r="H22" s="78">
        <v>23</v>
      </c>
      <c r="I22" s="78">
        <v>40595</v>
      </c>
      <c r="J22" s="78">
        <v>25</v>
      </c>
      <c r="K22" s="78">
        <v>44125</v>
      </c>
      <c r="L22" s="26">
        <v>29</v>
      </c>
      <c r="M22" s="26">
        <v>51185</v>
      </c>
      <c r="N22" s="22">
        <v>34.1</v>
      </c>
      <c r="O22" s="22">
        <v>60186.5</v>
      </c>
      <c r="P22" s="22">
        <v>35</v>
      </c>
      <c r="Q22" s="22">
        <v>61775</v>
      </c>
    </row>
    <row r="23" spans="1:17" x14ac:dyDescent="0.35">
      <c r="A23" s="46">
        <v>10</v>
      </c>
      <c r="B23" s="23" t="s">
        <v>826</v>
      </c>
      <c r="C23" s="24" t="s">
        <v>920</v>
      </c>
      <c r="D23" s="68" t="s">
        <v>566</v>
      </c>
      <c r="E23" s="48">
        <v>280</v>
      </c>
      <c r="F23" s="77">
        <v>185</v>
      </c>
      <c r="G23" s="78">
        <v>51800</v>
      </c>
      <c r="H23" s="77">
        <v>180</v>
      </c>
      <c r="I23" s="78">
        <v>50400</v>
      </c>
      <c r="J23" s="77">
        <v>280</v>
      </c>
      <c r="K23" s="78">
        <v>78400</v>
      </c>
      <c r="L23" s="26">
        <v>202</v>
      </c>
      <c r="M23" s="26">
        <v>56560</v>
      </c>
      <c r="N23" s="22">
        <v>371.98</v>
      </c>
      <c r="O23" s="22">
        <v>104154.4</v>
      </c>
      <c r="P23" s="22">
        <v>235</v>
      </c>
      <c r="Q23" s="22">
        <v>65800</v>
      </c>
    </row>
    <row r="24" spans="1:17" x14ac:dyDescent="0.35">
      <c r="A24" s="46">
        <v>11</v>
      </c>
      <c r="B24" s="23" t="s">
        <v>921</v>
      </c>
      <c r="C24" s="24" t="s">
        <v>922</v>
      </c>
      <c r="D24" s="63" t="s">
        <v>446</v>
      </c>
      <c r="E24" s="46">
        <v>525</v>
      </c>
      <c r="F24" s="78">
        <v>8</v>
      </c>
      <c r="G24" s="78">
        <v>4200</v>
      </c>
      <c r="H24" s="78">
        <v>5</v>
      </c>
      <c r="I24" s="78">
        <v>2625</v>
      </c>
      <c r="J24" s="78">
        <v>5</v>
      </c>
      <c r="K24" s="78">
        <v>2625</v>
      </c>
      <c r="L24" s="26">
        <v>6</v>
      </c>
      <c r="M24" s="26">
        <v>3150</v>
      </c>
      <c r="N24" s="22">
        <v>6.64</v>
      </c>
      <c r="O24" s="22">
        <v>3486</v>
      </c>
      <c r="P24" s="22">
        <v>6.5</v>
      </c>
      <c r="Q24" s="22">
        <v>3412.5</v>
      </c>
    </row>
    <row r="25" spans="1:17" x14ac:dyDescent="0.35">
      <c r="A25" s="46">
        <v>12</v>
      </c>
      <c r="B25" s="23" t="s">
        <v>923</v>
      </c>
      <c r="C25" s="24" t="s">
        <v>924</v>
      </c>
      <c r="D25" s="68" t="s">
        <v>412</v>
      </c>
      <c r="E25" s="48">
        <v>20</v>
      </c>
      <c r="F25" s="77">
        <v>200</v>
      </c>
      <c r="G25" s="78">
        <v>4000</v>
      </c>
      <c r="H25" s="77">
        <v>185</v>
      </c>
      <c r="I25" s="78">
        <v>3700</v>
      </c>
      <c r="J25" s="77">
        <v>220</v>
      </c>
      <c r="K25" s="78">
        <v>4400</v>
      </c>
      <c r="L25" s="26">
        <v>392</v>
      </c>
      <c r="M25" s="26">
        <v>7840</v>
      </c>
      <c r="N25" s="22">
        <v>479.92</v>
      </c>
      <c r="O25" s="22">
        <v>9598.4</v>
      </c>
      <c r="P25" s="22">
        <v>400</v>
      </c>
      <c r="Q25" s="22">
        <v>8000</v>
      </c>
    </row>
    <row r="26" spans="1:17" x14ac:dyDescent="0.35">
      <c r="A26" s="46">
        <v>13</v>
      </c>
      <c r="B26" s="23" t="s">
        <v>504</v>
      </c>
      <c r="C26" s="24" t="s">
        <v>505</v>
      </c>
      <c r="D26" s="63" t="s">
        <v>425</v>
      </c>
      <c r="E26" s="48">
        <v>1</v>
      </c>
      <c r="F26" s="77">
        <v>5000</v>
      </c>
      <c r="G26" s="78">
        <v>5000</v>
      </c>
      <c r="H26" s="77">
        <v>4750</v>
      </c>
      <c r="I26" s="78">
        <v>4750</v>
      </c>
      <c r="J26" s="77">
        <v>4750</v>
      </c>
      <c r="K26" s="78">
        <v>4750</v>
      </c>
      <c r="L26" s="26">
        <v>6053</v>
      </c>
      <c r="M26" s="26">
        <v>6053</v>
      </c>
      <c r="N26" s="22">
        <v>5978.2</v>
      </c>
      <c r="O26" s="22">
        <v>5978.2</v>
      </c>
      <c r="P26" s="22">
        <v>8500</v>
      </c>
      <c r="Q26" s="22">
        <v>8500</v>
      </c>
    </row>
    <row r="27" spans="1:17" x14ac:dyDescent="0.35">
      <c r="A27" s="46">
        <v>14</v>
      </c>
      <c r="B27" s="23" t="s">
        <v>549</v>
      </c>
      <c r="C27" s="24" t="s">
        <v>550</v>
      </c>
      <c r="D27" s="68" t="s">
        <v>412</v>
      </c>
      <c r="E27" s="48">
        <v>450</v>
      </c>
      <c r="F27" s="77">
        <v>12</v>
      </c>
      <c r="G27" s="78">
        <v>5400</v>
      </c>
      <c r="H27" s="77">
        <v>5.5</v>
      </c>
      <c r="I27" s="78">
        <v>2475</v>
      </c>
      <c r="J27" s="77">
        <v>5.5</v>
      </c>
      <c r="K27" s="78">
        <v>2475</v>
      </c>
      <c r="L27" s="26">
        <v>6</v>
      </c>
      <c r="M27" s="26">
        <v>2700</v>
      </c>
      <c r="N27" s="22">
        <v>7.64</v>
      </c>
      <c r="O27" s="22">
        <v>3438</v>
      </c>
      <c r="P27" s="22">
        <v>7</v>
      </c>
      <c r="Q27" s="22">
        <v>3150</v>
      </c>
    </row>
    <row r="28" spans="1:17" x14ac:dyDescent="0.35">
      <c r="A28" s="46">
        <v>15</v>
      </c>
      <c r="B28" s="23" t="s">
        <v>551</v>
      </c>
      <c r="C28" s="24" t="s">
        <v>822</v>
      </c>
      <c r="D28" s="63" t="s">
        <v>428</v>
      </c>
      <c r="E28" s="48">
        <v>100</v>
      </c>
      <c r="F28" s="77">
        <v>15</v>
      </c>
      <c r="G28" s="78">
        <v>1500</v>
      </c>
      <c r="H28" s="77">
        <v>6</v>
      </c>
      <c r="I28" s="78">
        <v>600</v>
      </c>
      <c r="J28" s="77">
        <v>24</v>
      </c>
      <c r="K28" s="78">
        <v>2400</v>
      </c>
      <c r="L28" s="26">
        <v>13</v>
      </c>
      <c r="M28" s="26">
        <v>1300</v>
      </c>
      <c r="N28" s="22">
        <v>21.71</v>
      </c>
      <c r="O28" s="22">
        <v>2171</v>
      </c>
      <c r="P28" s="22">
        <v>10</v>
      </c>
      <c r="Q28" s="22">
        <v>1000</v>
      </c>
    </row>
    <row r="29" spans="1:17" x14ac:dyDescent="0.35">
      <c r="A29" s="46">
        <v>16</v>
      </c>
      <c r="B29" s="23" t="s">
        <v>553</v>
      </c>
      <c r="C29" s="24" t="s">
        <v>807</v>
      </c>
      <c r="D29" s="68" t="s">
        <v>28</v>
      </c>
      <c r="E29" s="48">
        <v>520</v>
      </c>
      <c r="F29" s="77">
        <v>150</v>
      </c>
      <c r="G29" s="78">
        <v>78000</v>
      </c>
      <c r="H29" s="77">
        <v>45</v>
      </c>
      <c r="I29" s="78">
        <v>23400</v>
      </c>
      <c r="J29" s="77">
        <v>115</v>
      </c>
      <c r="K29" s="78">
        <v>59800</v>
      </c>
      <c r="L29" s="26">
        <v>73</v>
      </c>
      <c r="M29" s="26">
        <v>37960</v>
      </c>
      <c r="N29" s="22">
        <v>89.89</v>
      </c>
      <c r="O29" s="22">
        <v>46742.8</v>
      </c>
      <c r="P29" s="22">
        <v>100</v>
      </c>
      <c r="Q29" s="22">
        <v>52000</v>
      </c>
    </row>
    <row r="30" spans="1:17" x14ac:dyDescent="0.35">
      <c r="A30" s="46">
        <v>17</v>
      </c>
      <c r="B30" s="23" t="s">
        <v>563</v>
      </c>
      <c r="C30" s="24" t="s">
        <v>925</v>
      </c>
      <c r="D30" s="63" t="s">
        <v>28</v>
      </c>
      <c r="E30" s="48">
        <v>5</v>
      </c>
      <c r="F30" s="77">
        <v>4000</v>
      </c>
      <c r="G30" s="78">
        <v>20000</v>
      </c>
      <c r="H30" s="77">
        <v>3200</v>
      </c>
      <c r="I30" s="78">
        <v>16000</v>
      </c>
      <c r="J30" s="77">
        <v>4000</v>
      </c>
      <c r="K30" s="78">
        <v>20000</v>
      </c>
      <c r="L30" s="26">
        <v>4484</v>
      </c>
      <c r="M30" s="26">
        <v>22420</v>
      </c>
      <c r="N30" s="22">
        <v>4014.1</v>
      </c>
      <c r="O30" s="22">
        <v>20070.5</v>
      </c>
      <c r="P30" s="22">
        <v>6000</v>
      </c>
      <c r="Q30" s="22">
        <v>30000</v>
      </c>
    </row>
    <row r="31" spans="1:17" x14ac:dyDescent="0.35">
      <c r="A31" s="46">
        <v>18</v>
      </c>
      <c r="B31" s="23" t="s">
        <v>555</v>
      </c>
      <c r="C31" s="24" t="s">
        <v>926</v>
      </c>
      <c r="D31" s="68" t="s">
        <v>28</v>
      </c>
      <c r="E31" s="48">
        <v>1</v>
      </c>
      <c r="F31" s="77">
        <v>2500</v>
      </c>
      <c r="G31" s="78">
        <v>2500</v>
      </c>
      <c r="H31" s="77">
        <v>1400</v>
      </c>
      <c r="I31" s="78">
        <v>1400</v>
      </c>
      <c r="J31" s="77">
        <v>950</v>
      </c>
      <c r="K31" s="78">
        <v>950</v>
      </c>
      <c r="L31" s="26">
        <v>3363</v>
      </c>
      <c r="M31" s="26">
        <v>3363</v>
      </c>
      <c r="N31" s="22">
        <v>5418.08</v>
      </c>
      <c r="O31" s="22">
        <v>5418.08</v>
      </c>
      <c r="P31" s="22">
        <v>2000</v>
      </c>
      <c r="Q31" s="22">
        <v>2000</v>
      </c>
    </row>
    <row r="32" spans="1:17" x14ac:dyDescent="0.35">
      <c r="A32" s="46">
        <v>19</v>
      </c>
      <c r="B32" s="23" t="s">
        <v>512</v>
      </c>
      <c r="C32" s="24" t="s">
        <v>927</v>
      </c>
      <c r="D32" s="63" t="s">
        <v>407</v>
      </c>
      <c r="E32" s="46">
        <v>995</v>
      </c>
      <c r="F32" s="77">
        <v>35</v>
      </c>
      <c r="G32" s="78">
        <v>34825</v>
      </c>
      <c r="H32" s="77">
        <v>25</v>
      </c>
      <c r="I32" s="78">
        <v>24875</v>
      </c>
      <c r="J32" s="77">
        <v>20</v>
      </c>
      <c r="K32" s="78">
        <v>19900</v>
      </c>
      <c r="L32" s="26">
        <v>68</v>
      </c>
      <c r="M32" s="26">
        <v>67660</v>
      </c>
      <c r="N32" s="22">
        <v>26.5</v>
      </c>
      <c r="O32" s="22">
        <v>26367.5</v>
      </c>
      <c r="P32" s="22">
        <v>55</v>
      </c>
      <c r="Q32" s="22">
        <v>54725</v>
      </c>
    </row>
    <row r="33" spans="1:17" x14ac:dyDescent="0.35">
      <c r="A33" s="46">
        <v>20</v>
      </c>
      <c r="B33" s="23" t="s">
        <v>514</v>
      </c>
      <c r="C33" s="24" t="s">
        <v>928</v>
      </c>
      <c r="D33" s="68" t="s">
        <v>478</v>
      </c>
      <c r="E33" s="48">
        <v>1</v>
      </c>
      <c r="F33" s="77">
        <v>15000</v>
      </c>
      <c r="G33" s="78">
        <v>15000</v>
      </c>
      <c r="H33" s="77">
        <v>14700</v>
      </c>
      <c r="I33" s="78">
        <v>14700</v>
      </c>
      <c r="J33" s="77">
        <v>18000</v>
      </c>
      <c r="K33" s="78">
        <v>18000</v>
      </c>
      <c r="L33" s="26">
        <v>18276</v>
      </c>
      <c r="M33" s="26">
        <v>18276</v>
      </c>
      <c r="N33" s="22">
        <v>51270.400000000001</v>
      </c>
      <c r="O33" s="22">
        <v>51270.400000000001</v>
      </c>
      <c r="P33" s="22">
        <v>37000</v>
      </c>
      <c r="Q33" s="22">
        <v>37000</v>
      </c>
    </row>
    <row r="34" spans="1:17" x14ac:dyDescent="0.35">
      <c r="A34" s="46">
        <v>21</v>
      </c>
      <c r="B34" s="23" t="s">
        <v>929</v>
      </c>
      <c r="C34" s="24" t="s">
        <v>930</v>
      </c>
      <c r="D34" s="63" t="s">
        <v>478</v>
      </c>
      <c r="E34" s="48">
        <v>2</v>
      </c>
      <c r="F34" s="77">
        <v>15000</v>
      </c>
      <c r="G34" s="78">
        <v>30000</v>
      </c>
      <c r="H34" s="77">
        <v>690</v>
      </c>
      <c r="I34" s="78">
        <v>1380</v>
      </c>
      <c r="J34" s="77">
        <v>400</v>
      </c>
      <c r="K34" s="78">
        <v>800</v>
      </c>
      <c r="L34" s="26">
        <v>426</v>
      </c>
      <c r="M34" s="26">
        <v>852</v>
      </c>
      <c r="N34" s="22">
        <v>504.83</v>
      </c>
      <c r="O34" s="22">
        <v>1009.66</v>
      </c>
      <c r="P34" s="22">
        <v>650</v>
      </c>
      <c r="Q34" s="22">
        <v>1300</v>
      </c>
    </row>
    <row r="35" spans="1:17" x14ac:dyDescent="0.35">
      <c r="A35" s="46">
        <v>22</v>
      </c>
      <c r="B35" s="23" t="s">
        <v>931</v>
      </c>
      <c r="C35" s="24" t="s">
        <v>932</v>
      </c>
      <c r="D35" s="68" t="s">
        <v>545</v>
      </c>
      <c r="E35" s="48">
        <v>1650</v>
      </c>
      <c r="F35" s="77">
        <v>15</v>
      </c>
      <c r="G35" s="78">
        <v>24750</v>
      </c>
      <c r="H35" s="77">
        <v>14</v>
      </c>
      <c r="I35" s="78">
        <v>23100</v>
      </c>
      <c r="J35" s="77">
        <v>20</v>
      </c>
      <c r="K35" s="78">
        <v>33000</v>
      </c>
      <c r="L35" s="26">
        <v>15</v>
      </c>
      <c r="M35" s="26">
        <v>24750</v>
      </c>
      <c r="N35" s="22">
        <v>13.62</v>
      </c>
      <c r="O35" s="22">
        <v>22473</v>
      </c>
      <c r="P35" s="22">
        <v>17</v>
      </c>
      <c r="Q35" s="22">
        <v>28050</v>
      </c>
    </row>
    <row r="36" spans="1:17" x14ac:dyDescent="0.35">
      <c r="A36" s="46">
        <v>23</v>
      </c>
      <c r="B36" s="23" t="s">
        <v>933</v>
      </c>
      <c r="C36" s="24" t="s">
        <v>934</v>
      </c>
      <c r="D36" s="63" t="s">
        <v>407</v>
      </c>
      <c r="E36" s="48">
        <v>500</v>
      </c>
      <c r="F36" s="77">
        <v>2.5</v>
      </c>
      <c r="G36" s="78">
        <v>1250</v>
      </c>
      <c r="H36" s="77">
        <v>2</v>
      </c>
      <c r="I36" s="78">
        <v>1000</v>
      </c>
      <c r="J36" s="77">
        <v>2</v>
      </c>
      <c r="K36" s="78">
        <v>1000</v>
      </c>
      <c r="L36" s="26">
        <v>4</v>
      </c>
      <c r="M36" s="26">
        <v>2000</v>
      </c>
      <c r="N36" s="22">
        <v>0.48</v>
      </c>
      <c r="O36" s="22">
        <v>240</v>
      </c>
      <c r="P36" s="22">
        <v>4.5</v>
      </c>
      <c r="Q36" s="22">
        <v>2250</v>
      </c>
    </row>
    <row r="37" spans="1:17" x14ac:dyDescent="0.35">
      <c r="A37" s="46">
        <v>24</v>
      </c>
      <c r="B37" s="23" t="s">
        <v>754</v>
      </c>
      <c r="C37" s="24" t="s">
        <v>935</v>
      </c>
      <c r="D37" s="68" t="s">
        <v>478</v>
      </c>
      <c r="E37" s="48">
        <v>25</v>
      </c>
      <c r="F37" s="77">
        <v>150</v>
      </c>
      <c r="G37" s="78">
        <v>3750</v>
      </c>
      <c r="H37" s="77">
        <v>110</v>
      </c>
      <c r="I37" s="78">
        <v>2750</v>
      </c>
      <c r="J37" s="77">
        <v>110</v>
      </c>
      <c r="K37" s="78">
        <v>2750</v>
      </c>
      <c r="L37" s="26">
        <v>140</v>
      </c>
      <c r="M37" s="26">
        <v>3500</v>
      </c>
      <c r="N37" s="22">
        <v>177.75</v>
      </c>
      <c r="O37" s="22">
        <v>4443.75</v>
      </c>
      <c r="P37" s="22">
        <v>200</v>
      </c>
      <c r="Q37" s="22">
        <v>5000</v>
      </c>
    </row>
    <row r="38" spans="1:17" x14ac:dyDescent="0.35">
      <c r="A38" s="46">
        <v>25</v>
      </c>
      <c r="B38" s="23" t="s">
        <v>754</v>
      </c>
      <c r="C38" s="24" t="s">
        <v>936</v>
      </c>
      <c r="D38" s="63" t="s">
        <v>407</v>
      </c>
      <c r="E38" s="48">
        <v>220</v>
      </c>
      <c r="F38" s="77">
        <v>32</v>
      </c>
      <c r="G38" s="78">
        <v>7040</v>
      </c>
      <c r="H38" s="77">
        <v>30</v>
      </c>
      <c r="I38" s="78">
        <v>6600</v>
      </c>
      <c r="J38" s="77">
        <v>30</v>
      </c>
      <c r="K38" s="78">
        <v>6600</v>
      </c>
      <c r="L38" s="26">
        <v>39</v>
      </c>
      <c r="M38" s="26">
        <v>8580</v>
      </c>
      <c r="N38" s="22">
        <v>29.89</v>
      </c>
      <c r="O38" s="22">
        <v>6575.8</v>
      </c>
      <c r="P38" s="22">
        <v>78</v>
      </c>
      <c r="Q38" s="22">
        <v>17160</v>
      </c>
    </row>
    <row r="39" spans="1:17" x14ac:dyDescent="0.35">
      <c r="A39" s="46">
        <v>26</v>
      </c>
      <c r="B39" s="23" t="s">
        <v>754</v>
      </c>
      <c r="C39" s="24" t="s">
        <v>937</v>
      </c>
      <c r="D39" s="68" t="s">
        <v>478</v>
      </c>
      <c r="E39" s="48">
        <v>2</v>
      </c>
      <c r="F39" s="77">
        <v>250</v>
      </c>
      <c r="G39" s="78">
        <v>500</v>
      </c>
      <c r="H39" s="77">
        <v>150</v>
      </c>
      <c r="I39" s="78">
        <v>300</v>
      </c>
      <c r="J39" s="77">
        <v>150</v>
      </c>
      <c r="K39" s="78">
        <v>300</v>
      </c>
      <c r="L39" s="26">
        <v>112</v>
      </c>
      <c r="M39" s="26">
        <v>224</v>
      </c>
      <c r="N39" s="22">
        <v>16.61</v>
      </c>
      <c r="O39" s="22">
        <v>33.22</v>
      </c>
      <c r="P39" s="22">
        <v>130</v>
      </c>
      <c r="Q39" s="22">
        <v>260</v>
      </c>
    </row>
    <row r="40" spans="1:17" ht="14.5" customHeight="1" x14ac:dyDescent="0.35">
      <c r="A40" s="46">
        <v>27</v>
      </c>
      <c r="B40" s="23" t="s">
        <v>754</v>
      </c>
      <c r="C40" s="45" t="s">
        <v>938</v>
      </c>
      <c r="D40" s="63" t="s">
        <v>478</v>
      </c>
      <c r="E40" s="48">
        <v>2</v>
      </c>
      <c r="F40" s="77">
        <v>750</v>
      </c>
      <c r="G40" s="78">
        <v>1500</v>
      </c>
      <c r="H40" s="77">
        <v>220</v>
      </c>
      <c r="I40" s="78">
        <v>440</v>
      </c>
      <c r="J40" s="77">
        <v>300</v>
      </c>
      <c r="K40" s="78">
        <v>600</v>
      </c>
      <c r="L40" s="28">
        <v>319</v>
      </c>
      <c r="M40" s="28">
        <v>638</v>
      </c>
      <c r="N40" s="22">
        <v>298.91000000000003</v>
      </c>
      <c r="O40" s="22">
        <v>597.82000000000005</v>
      </c>
      <c r="P40" s="22">
        <v>375</v>
      </c>
      <c r="Q40" s="22">
        <v>750</v>
      </c>
    </row>
    <row r="41" spans="1:17" ht="15" thickBot="1" x14ac:dyDescent="0.4">
      <c r="A41" s="24"/>
      <c r="B41" s="24"/>
      <c r="C41" s="25"/>
      <c r="D41" s="24"/>
      <c r="E41" s="25"/>
      <c r="F41" s="26"/>
      <c r="G41" s="26"/>
      <c r="H41" s="26"/>
      <c r="I41" s="26"/>
      <c r="J41" s="26"/>
      <c r="K41" s="26"/>
      <c r="L41" s="26"/>
      <c r="M41" s="26"/>
      <c r="N41" s="22"/>
      <c r="O41" s="22"/>
      <c r="P41" s="22"/>
      <c r="Q41" s="22"/>
    </row>
    <row r="42" spans="1:17" ht="16" thickBot="1" x14ac:dyDescent="0.4">
      <c r="A42" s="21"/>
      <c r="B42" s="29"/>
      <c r="C42" s="21"/>
      <c r="D42" s="178" t="s">
        <v>510</v>
      </c>
      <c r="E42" s="179"/>
      <c r="F42" s="17"/>
      <c r="G42" s="17">
        <f>SUM(Table001__Page_2_31439[EXTENDED TOTAL])</f>
        <v>423370</v>
      </c>
      <c r="H42" s="17"/>
      <c r="I42" s="17">
        <f>SUM(Table001__Page_2_31439[EXTENDED TOTAL2])</f>
        <v>311215</v>
      </c>
      <c r="J42" s="17"/>
      <c r="K42" s="17">
        <f>SUM(Table001__Page_2_31439[EXTENDED TOTAL3])</f>
        <v>385725</v>
      </c>
      <c r="L42" s="17"/>
      <c r="M42" s="18">
        <f>SUM(Table001__Page_2_31439[EXTENDED TOTAL4])</f>
        <v>395836</v>
      </c>
      <c r="N42" s="17"/>
      <c r="O42" s="17">
        <f>SUM(Table001__Page_2_31439[EXTENDED TOTAL5])</f>
        <v>480041.82999999996</v>
      </c>
      <c r="P42" s="17"/>
      <c r="Q42" s="18">
        <f>SUM(Table001__Page_2_31439[EXTENDED TOTAL6])</f>
        <v>469507.5</v>
      </c>
    </row>
    <row r="43" spans="1:17" hidden="1" x14ac:dyDescent="0.35">
      <c r="A43" s="14"/>
      <c r="B43" s="29"/>
      <c r="C43" s="14"/>
      <c r="D43" s="14"/>
      <c r="E43" s="16"/>
      <c r="F43" s="14"/>
      <c r="G43" s="14"/>
      <c r="H43" s="14"/>
      <c r="I43" s="14"/>
      <c r="J43" s="14"/>
      <c r="K43" s="14"/>
      <c r="L43" s="14"/>
      <c r="M43" s="14"/>
      <c r="N43" s="14"/>
    </row>
    <row r="44" spans="1:17" hidden="1" x14ac:dyDescent="0.35">
      <c r="A44" s="14"/>
      <c r="B44" s="29"/>
      <c r="C44" s="14"/>
      <c r="D44" s="188" t="s">
        <v>456</v>
      </c>
      <c r="E44" s="189"/>
      <c r="F44" s="36"/>
      <c r="G44" s="161" t="s">
        <v>457</v>
      </c>
      <c r="H44" s="36"/>
      <c r="I44" s="38">
        <f>SUM(I42-G42)</f>
        <v>-112155</v>
      </c>
      <c r="J44" s="39"/>
      <c r="K44" s="38">
        <f>SUM(K42-G42)</f>
        <v>-37645</v>
      </c>
      <c r="L44" s="39"/>
      <c r="M44" s="40">
        <f>SUM(M42-G42)</f>
        <v>-27534</v>
      </c>
      <c r="N44" s="14"/>
    </row>
    <row r="45" spans="1:17" hidden="1" x14ac:dyDescent="0.35">
      <c r="I45" s="35"/>
      <c r="N45" s="14"/>
    </row>
    <row r="46" spans="1:17" hidden="1" x14ac:dyDescent="0.35">
      <c r="E46" s="190" t="s">
        <v>458</v>
      </c>
      <c r="F46" s="191"/>
      <c r="G46" s="37"/>
      <c r="H46" s="37"/>
      <c r="I46" s="41">
        <f>I44/G42</f>
        <v>-0.26491012589460755</v>
      </c>
      <c r="J46" s="41"/>
      <c r="K46" s="41">
        <f>K44/G42</f>
        <v>-8.8917495335049723E-2</v>
      </c>
      <c r="L46" s="41"/>
      <c r="M46" s="42">
        <f>M44/G42</f>
        <v>-6.5035311902118711E-2</v>
      </c>
      <c r="N46" s="14"/>
    </row>
    <row r="47" spans="1:17" x14ac:dyDescent="0.35">
      <c r="N47" s="14"/>
    </row>
    <row r="48" spans="1:17" x14ac:dyDescent="0.35">
      <c r="N48" s="14"/>
    </row>
    <row r="49" spans="1:14" x14ac:dyDescent="0.35">
      <c r="N49" s="14"/>
    </row>
    <row r="50" spans="1:14" x14ac:dyDescent="0.35">
      <c r="A50" s="67"/>
      <c r="N50" s="14"/>
    </row>
    <row r="51" spans="1:14" x14ac:dyDescent="0.35">
      <c r="N51" s="14"/>
    </row>
    <row r="52" spans="1:14" x14ac:dyDescent="0.35">
      <c r="N52" s="14"/>
    </row>
    <row r="53" spans="1:14" x14ac:dyDescent="0.35">
      <c r="N53" s="14"/>
    </row>
    <row r="54" spans="1:14" x14ac:dyDescent="0.35">
      <c r="H54" s="43"/>
      <c r="N54" s="14"/>
    </row>
    <row r="55" spans="1:14" x14ac:dyDescent="0.35">
      <c r="N55" s="14"/>
    </row>
    <row r="56" spans="1:14" x14ac:dyDescent="0.35">
      <c r="N56" s="14"/>
    </row>
    <row r="57" spans="1:14" x14ac:dyDescent="0.35">
      <c r="N57" s="14"/>
    </row>
    <row r="58" spans="1:14" x14ac:dyDescent="0.35">
      <c r="N58" s="14"/>
    </row>
    <row r="59" spans="1:14" x14ac:dyDescent="0.35">
      <c r="N59" s="14"/>
    </row>
    <row r="60" spans="1:14" x14ac:dyDescent="0.35">
      <c r="N60" s="14"/>
    </row>
    <row r="61" spans="1:14" x14ac:dyDescent="0.35">
      <c r="N61" s="14"/>
    </row>
    <row r="62" spans="1:14" x14ac:dyDescent="0.35">
      <c r="N62" s="14"/>
    </row>
    <row r="63" spans="1:14" x14ac:dyDescent="0.35">
      <c r="N63" s="14"/>
    </row>
    <row r="64" spans="1:14" x14ac:dyDescent="0.35">
      <c r="N64" s="14"/>
    </row>
    <row r="65" spans="14:14" x14ac:dyDescent="0.35">
      <c r="N65" s="14"/>
    </row>
    <row r="66" spans="14:14" x14ac:dyDescent="0.35">
      <c r="N66" s="14"/>
    </row>
    <row r="67" spans="14:14" x14ac:dyDescent="0.35">
      <c r="N67" s="14"/>
    </row>
    <row r="68" spans="14:14" x14ac:dyDescent="0.35">
      <c r="N68" s="14"/>
    </row>
    <row r="69" spans="14:14" ht="14.5" customHeight="1" x14ac:dyDescent="0.35">
      <c r="N69" s="14"/>
    </row>
    <row r="70" spans="14:14" ht="14.5" customHeight="1" x14ac:dyDescent="0.35">
      <c r="N70" s="14"/>
    </row>
  </sheetData>
  <mergeCells count="10">
    <mergeCell ref="D44:E44"/>
    <mergeCell ref="E46:F46"/>
    <mergeCell ref="N12:O12"/>
    <mergeCell ref="P12:Q12"/>
    <mergeCell ref="A12:E12"/>
    <mergeCell ref="F12:G12"/>
    <mergeCell ref="H12:I12"/>
    <mergeCell ref="J12:K12"/>
    <mergeCell ref="L12:M12"/>
    <mergeCell ref="D42:E42"/>
  </mergeCells>
  <phoneticPr fontId="10" type="noConversion"/>
  <pageMargins left="0.7" right="0.7" top="0.75" bottom="0.75" header="0.3" footer="0.3"/>
  <pageSetup orientation="portrait" verticalDpi="0"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2D446-DE8A-4B11-B790-5B95427A532C}">
  <sheetPr codeName="Sheet4"/>
  <dimension ref="A1:N136"/>
  <sheetViews>
    <sheetView zoomScale="70" zoomScaleNormal="70" zoomScaleSheetLayoutView="50" zoomScalePageLayoutView="70" workbookViewId="0"/>
  </sheetViews>
  <sheetFormatPr defaultRowHeight="14.5" x14ac:dyDescent="0.35"/>
  <cols>
    <col min="1" max="1" width="20.81640625" bestFit="1" customWidth="1"/>
    <col min="2" max="2" width="21.453125" style="32" bestFit="1" customWidth="1"/>
    <col min="3" max="3" width="127.453125" customWidth="1"/>
    <col min="4" max="4" width="10" bestFit="1" customWidth="1"/>
    <col min="5" max="5" width="25.54296875" style="6" bestFit="1" customWidth="1"/>
    <col min="6" max="6" width="15" bestFit="1" customWidth="1"/>
    <col min="7" max="7" width="20.81640625" bestFit="1" customWidth="1"/>
    <col min="8" max="8" width="16" customWidth="1"/>
    <col min="9" max="9" width="22" customWidth="1"/>
    <col min="10" max="10" width="16" bestFit="1" customWidth="1"/>
    <col min="11" max="11" width="22" bestFit="1" customWidth="1"/>
    <col min="12" max="12" width="16" customWidth="1"/>
    <col min="13" max="13" width="22" bestFit="1" customWidth="1"/>
  </cols>
  <sheetData>
    <row r="1" spans="1:14" x14ac:dyDescent="0.35">
      <c r="A1" s="14"/>
      <c r="B1" s="29"/>
      <c r="C1" s="14"/>
      <c r="D1" s="14"/>
      <c r="E1" s="16"/>
      <c r="F1" s="14"/>
      <c r="G1" s="14"/>
      <c r="H1" s="14"/>
      <c r="I1" s="14"/>
      <c r="J1" s="14"/>
      <c r="K1" s="14"/>
      <c r="L1" s="14"/>
      <c r="M1" s="14"/>
      <c r="N1" s="14"/>
    </row>
    <row r="2" spans="1:14" x14ac:dyDescent="0.35">
      <c r="A2" s="14"/>
      <c r="B2" s="29"/>
      <c r="C2" s="14"/>
      <c r="D2" s="14"/>
      <c r="E2" s="16"/>
      <c r="F2" s="14"/>
      <c r="G2" s="14"/>
      <c r="H2" s="14"/>
      <c r="I2" s="14"/>
      <c r="J2" s="14"/>
      <c r="K2" s="14"/>
      <c r="L2" s="14"/>
      <c r="M2" s="14"/>
      <c r="N2" s="14"/>
    </row>
    <row r="3" spans="1:14" ht="15.5" x14ac:dyDescent="0.35">
      <c r="A3" s="15" t="s">
        <v>0</v>
      </c>
      <c r="B3" s="29" t="s">
        <v>259</v>
      </c>
      <c r="C3" s="14"/>
      <c r="D3" s="15"/>
      <c r="E3" s="16"/>
      <c r="F3" s="14"/>
      <c r="G3" s="14"/>
      <c r="H3" s="14"/>
      <c r="I3" s="14"/>
      <c r="J3" s="14"/>
      <c r="K3" s="14"/>
      <c r="L3" s="14"/>
      <c r="M3" s="14"/>
      <c r="N3" s="14"/>
    </row>
    <row r="4" spans="1:14" ht="15.5" x14ac:dyDescent="0.35">
      <c r="A4" s="15" t="s">
        <v>2</v>
      </c>
      <c r="B4" s="29" t="str">
        <f>VLOOKUP($B$3,DATA!$A$2:$E$80,3)</f>
        <v>Smyrna</v>
      </c>
      <c r="C4" s="14"/>
      <c r="D4" s="15"/>
      <c r="E4" s="16"/>
      <c r="F4" s="14"/>
      <c r="G4" s="14"/>
      <c r="H4" s="14"/>
      <c r="I4" s="14"/>
      <c r="J4" s="14"/>
      <c r="K4" s="14"/>
      <c r="L4" s="14"/>
      <c r="M4" s="14"/>
      <c r="N4" s="14"/>
    </row>
    <row r="5" spans="1:14" ht="15.5" x14ac:dyDescent="0.35">
      <c r="A5" s="15" t="s">
        <v>3</v>
      </c>
      <c r="B5" s="29" t="str">
        <f>VLOOKUP($B$3,DATA!$A$2:$E$80,4)</f>
        <v>Smyrna Airport</v>
      </c>
      <c r="C5" s="14"/>
      <c r="D5" s="15"/>
      <c r="E5" s="16"/>
      <c r="F5" s="14"/>
      <c r="G5" s="14"/>
      <c r="H5" s="14"/>
      <c r="I5" s="14"/>
      <c r="J5" s="14"/>
      <c r="K5" s="14"/>
      <c r="L5" s="14"/>
      <c r="M5" s="14"/>
      <c r="N5" s="14"/>
    </row>
    <row r="6" spans="1:14" ht="15.5" x14ac:dyDescent="0.35">
      <c r="A6" s="15" t="s">
        <v>4</v>
      </c>
      <c r="B6" s="29" t="s">
        <v>369</v>
      </c>
      <c r="C6" s="14"/>
      <c r="D6" s="15"/>
      <c r="E6" s="16"/>
      <c r="F6" s="14"/>
      <c r="G6" s="14"/>
      <c r="H6" s="14"/>
      <c r="I6" s="14"/>
      <c r="J6" s="14"/>
      <c r="K6" s="14"/>
      <c r="L6" s="14"/>
      <c r="M6" s="14"/>
      <c r="N6" s="14"/>
    </row>
    <row r="7" spans="1:14" ht="15.5" x14ac:dyDescent="0.35">
      <c r="A7" s="15" t="s">
        <v>6</v>
      </c>
      <c r="B7" s="19" t="s">
        <v>370</v>
      </c>
      <c r="C7" s="14"/>
      <c r="D7" s="15"/>
      <c r="E7" s="16"/>
      <c r="F7" s="14"/>
      <c r="G7" s="14"/>
      <c r="H7" s="14"/>
      <c r="I7" s="14"/>
      <c r="J7" s="14"/>
      <c r="K7" s="14"/>
      <c r="L7" s="14"/>
      <c r="M7" s="14"/>
      <c r="N7" s="14"/>
    </row>
    <row r="8" spans="1:14" ht="15.5" x14ac:dyDescent="0.35">
      <c r="A8" s="15" t="s">
        <v>8</v>
      </c>
      <c r="B8" s="30">
        <v>45062</v>
      </c>
      <c r="C8" s="14"/>
      <c r="D8" s="15"/>
      <c r="E8" s="33"/>
      <c r="F8" s="14"/>
      <c r="G8" s="14"/>
      <c r="H8" s="14"/>
      <c r="I8" s="14"/>
      <c r="J8" s="14"/>
      <c r="K8" s="14"/>
      <c r="L8" s="14"/>
      <c r="M8" s="14"/>
      <c r="N8" s="14"/>
    </row>
    <row r="9" spans="1:14" ht="15.5" x14ac:dyDescent="0.35">
      <c r="A9" s="15" t="s">
        <v>9</v>
      </c>
      <c r="B9" s="29" t="str">
        <f>VLOOKUP($B$3,DATA!$A$2:$E$80,2)</f>
        <v>Rutherford</v>
      </c>
      <c r="C9" s="14"/>
      <c r="D9" s="15"/>
      <c r="E9" s="16"/>
      <c r="F9" s="14"/>
      <c r="G9" s="14"/>
      <c r="H9" s="14"/>
      <c r="I9" s="14"/>
      <c r="J9" s="14"/>
      <c r="K9" s="14"/>
      <c r="L9" s="14"/>
      <c r="M9" s="14"/>
      <c r="N9" s="14"/>
    </row>
    <row r="10" spans="1:14" ht="15.5" x14ac:dyDescent="0.35">
      <c r="A10" s="15" t="s">
        <v>10</v>
      </c>
      <c r="B10" s="29" t="str">
        <f>VLOOKUP($B$3,DATA!$A$2:$E$80,5)</f>
        <v>Middle</v>
      </c>
      <c r="C10" s="14"/>
      <c r="D10" s="15"/>
      <c r="E10" s="16"/>
      <c r="F10" s="14"/>
      <c r="G10" s="14"/>
      <c r="H10" s="14"/>
      <c r="I10" s="14"/>
      <c r="J10" s="14"/>
      <c r="K10" s="14"/>
      <c r="L10" s="14"/>
      <c r="M10" s="14"/>
      <c r="N10" s="14"/>
    </row>
    <row r="11" spans="1:14" ht="16" thickBot="1" x14ac:dyDescent="0.4">
      <c r="A11" s="15"/>
      <c r="B11" s="29"/>
      <c r="C11" s="14"/>
      <c r="D11" s="15"/>
      <c r="E11" s="16"/>
      <c r="F11" s="14"/>
      <c r="G11" s="14"/>
      <c r="H11" s="14"/>
      <c r="I11" s="14"/>
      <c r="J11" s="14"/>
      <c r="K11" s="14"/>
      <c r="L11" s="14"/>
      <c r="M11" s="14"/>
      <c r="N11" s="14"/>
    </row>
    <row r="12" spans="1:14" ht="16" thickBot="1" x14ac:dyDescent="0.4">
      <c r="A12" s="173" t="s">
        <v>1315</v>
      </c>
      <c r="B12" s="174"/>
      <c r="C12" s="174"/>
      <c r="D12" s="174"/>
      <c r="E12" s="175"/>
      <c r="F12" s="173" t="s">
        <v>12</v>
      </c>
      <c r="G12" s="175"/>
      <c r="H12" s="173" t="s">
        <v>939</v>
      </c>
      <c r="I12" s="175"/>
      <c r="J12" s="173" t="s">
        <v>395</v>
      </c>
      <c r="K12" s="175"/>
      <c r="L12" s="173" t="s">
        <v>940</v>
      </c>
      <c r="M12" s="175"/>
      <c r="N12" s="14"/>
    </row>
    <row r="13" spans="1:14" x14ac:dyDescent="0.35">
      <c r="A13" s="23" t="s">
        <v>15</v>
      </c>
      <c r="B13" s="23" t="s">
        <v>396</v>
      </c>
      <c r="C13" s="23" t="s">
        <v>17</v>
      </c>
      <c r="D13" s="23" t="s">
        <v>18</v>
      </c>
      <c r="E13" s="23" t="s">
        <v>19</v>
      </c>
      <c r="F13" s="23" t="s">
        <v>20</v>
      </c>
      <c r="G13" s="23" t="s">
        <v>21</v>
      </c>
      <c r="H13" s="23" t="s">
        <v>397</v>
      </c>
      <c r="I13" s="23" t="s">
        <v>398</v>
      </c>
      <c r="J13" s="23" t="s">
        <v>399</v>
      </c>
      <c r="K13" s="23" t="s">
        <v>400</v>
      </c>
      <c r="L13" s="23" t="s">
        <v>401</v>
      </c>
      <c r="M13" s="23" t="s">
        <v>402</v>
      </c>
      <c r="N13" s="14"/>
    </row>
    <row r="14" spans="1:14" x14ac:dyDescent="0.35">
      <c r="A14" s="16">
        <v>1</v>
      </c>
      <c r="B14" s="23" t="s">
        <v>594</v>
      </c>
      <c r="C14" s="45" t="s">
        <v>941</v>
      </c>
      <c r="D14" s="16" t="s">
        <v>942</v>
      </c>
      <c r="E14" s="16">
        <v>1</v>
      </c>
      <c r="F14" s="59">
        <v>190000</v>
      </c>
      <c r="G14" s="59">
        <f>Table001__Page_2_3[[#This Row],[ESTIMATED QUANTITY]]*Table001__Page_2_3[[#This Row],[UNIT COST]]</f>
        <v>190000</v>
      </c>
      <c r="H14" s="59">
        <v>295000</v>
      </c>
      <c r="I14" s="59">
        <f>Table001__Page_2_3[[#This Row],[UNIT COST ]]*Table001__Page_2_3[[#This Row],[ESTIMATED QUANTITY]]</f>
        <v>295000</v>
      </c>
      <c r="J14" s="59">
        <v>635000</v>
      </c>
      <c r="K14" s="59">
        <f>Table001__Page_2_3[[#This Row],[UNIT COST  ]]*Table001__Page_2_3[[#This Row],[ESTIMATED QUANTITY]]</f>
        <v>635000</v>
      </c>
      <c r="L14" s="59">
        <v>3410000</v>
      </c>
      <c r="M14" s="59">
        <f>Table001__Page_2_3[[#This Row],[UNIT COST   ]]*Table001__Page_2_3[[#This Row],[ESTIMATED QUANTITY]]</f>
        <v>3410000</v>
      </c>
      <c r="N14" s="14"/>
    </row>
    <row r="15" spans="1:14" x14ac:dyDescent="0.35">
      <c r="A15" s="16">
        <v>2</v>
      </c>
      <c r="B15" s="23" t="s">
        <v>476</v>
      </c>
      <c r="C15" s="93" t="s">
        <v>943</v>
      </c>
      <c r="D15" s="16" t="s">
        <v>942</v>
      </c>
      <c r="E15" s="16">
        <v>1</v>
      </c>
      <c r="F15" s="59">
        <v>30000</v>
      </c>
      <c r="G15" s="59">
        <f>Table001__Page_2_3[[#This Row],[ESTIMATED QUANTITY]]*Table001__Page_2_3[[#This Row],[UNIT COST]]</f>
        <v>30000</v>
      </c>
      <c r="H15" s="59">
        <v>65000</v>
      </c>
      <c r="I15" s="59">
        <f>Table001__Page_2_3[[#This Row],[UNIT COST ]]*Table001__Page_2_3[[#This Row],[ESTIMATED QUANTITY]]</f>
        <v>65000</v>
      </c>
      <c r="J15" s="59">
        <v>31400</v>
      </c>
      <c r="K15" s="59">
        <f>Table001__Page_2_3[[#This Row],[UNIT COST  ]]*Table001__Page_2_3[[#This Row],[ESTIMATED QUANTITY]]</f>
        <v>31400</v>
      </c>
      <c r="L15" s="59">
        <v>50000</v>
      </c>
      <c r="M15" s="59">
        <f>Table001__Page_2_3[[#This Row],[UNIT COST   ]]*Table001__Page_2_3[[#This Row],[ESTIMATED QUANTITY]]</f>
        <v>50000</v>
      </c>
      <c r="N15" s="14"/>
    </row>
    <row r="16" spans="1:14" x14ac:dyDescent="0.35">
      <c r="A16" s="16">
        <v>3</v>
      </c>
      <c r="B16" s="23" t="s">
        <v>479</v>
      </c>
      <c r="C16" s="93" t="s">
        <v>944</v>
      </c>
      <c r="D16" s="16" t="s">
        <v>945</v>
      </c>
      <c r="E16" s="16">
        <v>135</v>
      </c>
      <c r="F16" s="59">
        <v>260</v>
      </c>
      <c r="G16" s="59">
        <f>Table001__Page_2_3[[#This Row],[ESTIMATED QUANTITY]]*Table001__Page_2_3[[#This Row],[UNIT COST]]</f>
        <v>35100</v>
      </c>
      <c r="H16" s="59">
        <v>97.7</v>
      </c>
      <c r="I16" s="59">
        <f>Table001__Page_2_3[[#This Row],[UNIT COST ]]*Table001__Page_2_3[[#This Row],[ESTIMATED QUANTITY]]</f>
        <v>13189.5</v>
      </c>
      <c r="J16" s="59">
        <v>116</v>
      </c>
      <c r="K16" s="59">
        <f>Table001__Page_2_3[[#This Row],[UNIT COST  ]]*Table001__Page_2_3[[#This Row],[ESTIMATED QUANTITY]]</f>
        <v>15660</v>
      </c>
      <c r="L16" s="59">
        <v>100</v>
      </c>
      <c r="M16" s="59">
        <f>Table001__Page_2_3[[#This Row],[UNIT COST   ]]*Table001__Page_2_3[[#This Row],[ESTIMATED QUANTITY]]</f>
        <v>13500</v>
      </c>
      <c r="N16" s="14"/>
    </row>
    <row r="17" spans="1:14" x14ac:dyDescent="0.35">
      <c r="A17" s="16">
        <v>4</v>
      </c>
      <c r="B17" s="23" t="s">
        <v>481</v>
      </c>
      <c r="C17" s="93" t="s">
        <v>946</v>
      </c>
      <c r="D17" s="16" t="s">
        <v>945</v>
      </c>
      <c r="E17" s="16">
        <v>42</v>
      </c>
      <c r="F17" s="59">
        <v>400</v>
      </c>
      <c r="G17" s="59">
        <f>Table001__Page_2_3[[#This Row],[ESTIMATED QUANTITY]]*Table001__Page_2_3[[#This Row],[UNIT COST]]</f>
        <v>16800</v>
      </c>
      <c r="H17" s="59">
        <v>360</v>
      </c>
      <c r="I17" s="59">
        <f>Table001__Page_2_3[[#This Row],[UNIT COST ]]*Table001__Page_2_3[[#This Row],[ESTIMATED QUANTITY]]</f>
        <v>15120</v>
      </c>
      <c r="J17" s="59">
        <v>428</v>
      </c>
      <c r="K17" s="59">
        <f>Table001__Page_2_3[[#This Row],[UNIT COST  ]]*Table001__Page_2_3[[#This Row],[ESTIMATED QUANTITY]]</f>
        <v>17976</v>
      </c>
      <c r="L17" s="59">
        <v>400</v>
      </c>
      <c r="M17" s="59">
        <f>Table001__Page_2_3[[#This Row],[UNIT COST   ]]*Table001__Page_2_3[[#This Row],[ESTIMATED QUANTITY]]</f>
        <v>16800</v>
      </c>
      <c r="N17" s="14"/>
    </row>
    <row r="18" spans="1:14" x14ac:dyDescent="0.35">
      <c r="A18" s="16">
        <v>5</v>
      </c>
      <c r="B18" s="23" t="s">
        <v>768</v>
      </c>
      <c r="C18" s="45" t="s">
        <v>947</v>
      </c>
      <c r="D18" s="16" t="s">
        <v>945</v>
      </c>
      <c r="E18" s="16">
        <v>5</v>
      </c>
      <c r="F18" s="59">
        <v>2500</v>
      </c>
      <c r="G18" s="59">
        <f>Table001__Page_2_3[[#This Row],[ESTIMATED QUANTITY]]*Table001__Page_2_3[[#This Row],[UNIT COST]]</f>
        <v>12500</v>
      </c>
      <c r="H18" s="59">
        <v>633</v>
      </c>
      <c r="I18" s="59">
        <f>Table001__Page_2_3[[#This Row],[UNIT COST ]]*Table001__Page_2_3[[#This Row],[ESTIMATED QUANTITY]]</f>
        <v>3165</v>
      </c>
      <c r="J18" s="59">
        <v>1000</v>
      </c>
      <c r="K18" s="59">
        <f>Table001__Page_2_3[[#This Row],[UNIT COST  ]]*Table001__Page_2_3[[#This Row],[ESTIMATED QUANTITY]]</f>
        <v>5000</v>
      </c>
      <c r="L18" s="59">
        <v>3300</v>
      </c>
      <c r="M18" s="59">
        <f>Table001__Page_2_3[[#This Row],[UNIT COST   ]]*Table001__Page_2_3[[#This Row],[ESTIMATED QUANTITY]]</f>
        <v>16500</v>
      </c>
      <c r="N18" s="14"/>
    </row>
    <row r="19" spans="1:14" x14ac:dyDescent="0.35">
      <c r="A19" s="16">
        <v>6</v>
      </c>
      <c r="B19" s="23" t="s">
        <v>770</v>
      </c>
      <c r="C19" s="93" t="s">
        <v>948</v>
      </c>
      <c r="D19" s="16" t="s">
        <v>949</v>
      </c>
      <c r="E19" s="16">
        <v>2500</v>
      </c>
      <c r="F19" s="59">
        <v>8</v>
      </c>
      <c r="G19" s="59">
        <f>Table001__Page_2_3[[#This Row],[ESTIMATED QUANTITY]]*Table001__Page_2_3[[#This Row],[UNIT COST]]</f>
        <v>20000</v>
      </c>
      <c r="H19" s="59">
        <v>5.9</v>
      </c>
      <c r="I19" s="59">
        <f>Table001__Page_2_3[[#This Row],[UNIT COST ]]*Table001__Page_2_3[[#This Row],[ESTIMATED QUANTITY]]</f>
        <v>14750</v>
      </c>
      <c r="J19" s="59">
        <v>7</v>
      </c>
      <c r="K19" s="59">
        <f>Table001__Page_2_3[[#This Row],[UNIT COST  ]]*Table001__Page_2_3[[#This Row],[ESTIMATED QUANTITY]]</f>
        <v>17500</v>
      </c>
      <c r="L19" s="59">
        <v>6</v>
      </c>
      <c r="M19" s="59">
        <f>Table001__Page_2_3[[#This Row],[UNIT COST   ]]*Table001__Page_2_3[[#This Row],[ESTIMATED QUANTITY]]</f>
        <v>15000</v>
      </c>
      <c r="N19" s="14"/>
    </row>
    <row r="20" spans="1:14" x14ac:dyDescent="0.35">
      <c r="A20" s="16">
        <v>7</v>
      </c>
      <c r="B20" s="23" t="s">
        <v>950</v>
      </c>
      <c r="C20" s="45" t="s">
        <v>951</v>
      </c>
      <c r="D20" s="16" t="s">
        <v>952</v>
      </c>
      <c r="E20" s="16">
        <v>7500</v>
      </c>
      <c r="F20" s="59">
        <v>4</v>
      </c>
      <c r="G20" s="59">
        <f>Table001__Page_2_3[[#This Row],[ESTIMATED QUANTITY]]*Table001__Page_2_3[[#This Row],[UNIT COST]]</f>
        <v>30000</v>
      </c>
      <c r="H20" s="59">
        <v>1.45</v>
      </c>
      <c r="I20" s="59">
        <f>Table001__Page_2_3[[#This Row],[UNIT COST ]]*Table001__Page_2_3[[#This Row],[ESTIMATED QUANTITY]]</f>
        <v>10875</v>
      </c>
      <c r="J20" s="59">
        <v>1.7</v>
      </c>
      <c r="K20" s="59">
        <f>Table001__Page_2_3[[#This Row],[UNIT COST  ]]*Table001__Page_2_3[[#This Row],[ESTIMATED QUANTITY]]</f>
        <v>12750</v>
      </c>
      <c r="L20" s="59">
        <v>2</v>
      </c>
      <c r="M20" s="59">
        <f>Table001__Page_2_3[[#This Row],[UNIT COST   ]]*Table001__Page_2_3[[#This Row],[ESTIMATED QUANTITY]]</f>
        <v>15000</v>
      </c>
      <c r="N20" s="14"/>
    </row>
    <row r="21" spans="1:14" x14ac:dyDescent="0.35">
      <c r="A21" s="16">
        <v>8</v>
      </c>
      <c r="B21" s="23" t="s">
        <v>953</v>
      </c>
      <c r="C21" s="45" t="s">
        <v>954</v>
      </c>
      <c r="D21" s="16" t="s">
        <v>548</v>
      </c>
      <c r="E21" s="16">
        <v>74</v>
      </c>
      <c r="F21" s="59">
        <v>3500</v>
      </c>
      <c r="G21" s="59">
        <f>Table001__Page_2_3[[#This Row],[ESTIMATED QUANTITY]]*Table001__Page_2_3[[#This Row],[UNIT COST]]</f>
        <v>259000</v>
      </c>
      <c r="H21" s="59">
        <v>2320</v>
      </c>
      <c r="I21" s="59">
        <f>Table001__Page_2_3[[#This Row],[UNIT COST ]]*Table001__Page_2_3[[#This Row],[ESTIMATED QUANTITY]]</f>
        <v>171680</v>
      </c>
      <c r="J21" s="59">
        <v>2750</v>
      </c>
      <c r="K21" s="59">
        <f>Table001__Page_2_3[[#This Row],[UNIT COST  ]]*Table001__Page_2_3[[#This Row],[ESTIMATED QUANTITY]]</f>
        <v>203500</v>
      </c>
      <c r="L21" s="59">
        <v>2000</v>
      </c>
      <c r="M21" s="59">
        <f>Table001__Page_2_3[[#This Row],[UNIT COST   ]]*Table001__Page_2_3[[#This Row],[ESTIMATED QUANTITY]]</f>
        <v>148000</v>
      </c>
      <c r="N21" s="14"/>
    </row>
    <row r="22" spans="1:14" x14ac:dyDescent="0.35">
      <c r="A22" s="16">
        <v>9</v>
      </c>
      <c r="B22" s="23" t="s">
        <v>955</v>
      </c>
      <c r="C22" s="45" t="s">
        <v>956</v>
      </c>
      <c r="D22" s="16" t="s">
        <v>949</v>
      </c>
      <c r="E22" s="16">
        <v>7030</v>
      </c>
      <c r="F22" s="59">
        <v>7</v>
      </c>
      <c r="G22" s="59">
        <f>Table001__Page_2_3[[#This Row],[ESTIMATED QUANTITY]]*Table001__Page_2_3[[#This Row],[UNIT COST]]</f>
        <v>49210</v>
      </c>
      <c r="H22" s="59">
        <v>4</v>
      </c>
      <c r="I22" s="59">
        <f>Table001__Page_2_3[[#This Row],[UNIT COST ]]*Table001__Page_2_3[[#This Row],[ESTIMATED QUANTITY]]</f>
        <v>28120</v>
      </c>
      <c r="J22" s="59">
        <v>2.75</v>
      </c>
      <c r="K22" s="59">
        <f>Table001__Page_2_3[[#This Row],[UNIT COST  ]]*Table001__Page_2_3[[#This Row],[ESTIMATED QUANTITY]]</f>
        <v>19332.5</v>
      </c>
      <c r="L22" s="59">
        <v>3</v>
      </c>
      <c r="M22" s="59">
        <f>Table001__Page_2_3[[#This Row],[UNIT COST   ]]*Table001__Page_2_3[[#This Row],[ESTIMATED QUANTITY]]</f>
        <v>21090</v>
      </c>
      <c r="N22" s="14"/>
    </row>
    <row r="23" spans="1:14" x14ac:dyDescent="0.35">
      <c r="A23" s="16">
        <v>10</v>
      </c>
      <c r="B23" s="23" t="s">
        <v>957</v>
      </c>
      <c r="C23" s="45" t="s">
        <v>958</v>
      </c>
      <c r="D23" s="16" t="s">
        <v>949</v>
      </c>
      <c r="E23" s="16">
        <v>2750</v>
      </c>
      <c r="F23" s="59">
        <v>8</v>
      </c>
      <c r="G23" s="59">
        <f>Table001__Page_2_3[[#This Row],[ESTIMATED QUANTITY]]*Table001__Page_2_3[[#This Row],[UNIT COST]]</f>
        <v>22000</v>
      </c>
      <c r="H23" s="59">
        <v>4</v>
      </c>
      <c r="I23" s="59">
        <f>Table001__Page_2_3[[#This Row],[UNIT COST ]]*Table001__Page_2_3[[#This Row],[ESTIMATED QUANTITY]]</f>
        <v>11000</v>
      </c>
      <c r="J23" s="59">
        <v>5.45</v>
      </c>
      <c r="K23" s="59">
        <f>Table001__Page_2_3[[#This Row],[UNIT COST  ]]*Table001__Page_2_3[[#This Row],[ESTIMATED QUANTITY]]</f>
        <v>14987.5</v>
      </c>
      <c r="L23" s="59">
        <v>5</v>
      </c>
      <c r="M23" s="59">
        <f>Table001__Page_2_3[[#This Row],[UNIT COST   ]]*Table001__Page_2_3[[#This Row],[ESTIMATED QUANTITY]]</f>
        <v>13750</v>
      </c>
      <c r="N23" s="14"/>
    </row>
    <row r="24" spans="1:14" x14ac:dyDescent="0.35">
      <c r="A24" s="16">
        <v>11</v>
      </c>
      <c r="B24" s="31" t="s">
        <v>959</v>
      </c>
      <c r="C24" s="27" t="s">
        <v>960</v>
      </c>
      <c r="D24" s="20" t="s">
        <v>945</v>
      </c>
      <c r="E24" s="16">
        <v>2</v>
      </c>
      <c r="F24" s="59">
        <v>20000</v>
      </c>
      <c r="G24" s="59">
        <f>Table001__Page_2_3[[#This Row],[ESTIMATED QUANTITY]]*Table001__Page_2_3[[#This Row],[UNIT COST]]</f>
        <v>40000</v>
      </c>
      <c r="H24" s="59">
        <v>1980</v>
      </c>
      <c r="I24" s="59">
        <f>Table001__Page_2_3[[#This Row],[UNIT COST ]]*Table001__Page_2_3[[#This Row],[ESTIMATED QUANTITY]]</f>
        <v>3960</v>
      </c>
      <c r="J24" s="59">
        <v>3000</v>
      </c>
      <c r="K24" s="59">
        <f>Table001__Page_2_3[[#This Row],[UNIT COST  ]]*Table001__Page_2_3[[#This Row],[ESTIMATED QUANTITY]]</f>
        <v>6000</v>
      </c>
      <c r="L24" s="59">
        <v>8000</v>
      </c>
      <c r="M24" s="59">
        <f>Table001__Page_2_3[[#This Row],[UNIT COST   ]]*Table001__Page_2_3[[#This Row],[ESTIMATED QUANTITY]]</f>
        <v>16000</v>
      </c>
      <c r="N24" s="14"/>
    </row>
    <row r="25" spans="1:14" x14ac:dyDescent="0.35">
      <c r="A25" s="16">
        <v>12</v>
      </c>
      <c r="B25" s="23" t="s">
        <v>26</v>
      </c>
      <c r="C25" s="45" t="s">
        <v>598</v>
      </c>
      <c r="D25" s="16" t="s">
        <v>942</v>
      </c>
      <c r="E25" s="16">
        <v>1</v>
      </c>
      <c r="F25" s="59">
        <v>1249000</v>
      </c>
      <c r="G25" s="59">
        <f>Table001__Page_2_3[[#This Row],[ESTIMATED QUANTITY]]*Table001__Page_2_3[[#This Row],[UNIT COST]]</f>
        <v>1249000</v>
      </c>
      <c r="H25" s="59">
        <v>336000</v>
      </c>
      <c r="I25" s="59">
        <f>Table001__Page_2_3[[#This Row],[UNIT COST ]]*Table001__Page_2_3[[#This Row],[ESTIMATED QUANTITY]]</f>
        <v>336000</v>
      </c>
      <c r="J25" s="59">
        <v>750000</v>
      </c>
      <c r="K25" s="59">
        <f>Table001__Page_2_3[[#This Row],[UNIT COST  ]]*Table001__Page_2_3[[#This Row],[ESTIMATED QUANTITY]]</f>
        <v>750000</v>
      </c>
      <c r="L25" s="59">
        <v>650000</v>
      </c>
      <c r="M25" s="59">
        <f>Table001__Page_2_3[[#This Row],[UNIT COST   ]]*Table001__Page_2_3[[#This Row],[ESTIMATED QUANTITY]]</f>
        <v>650000</v>
      </c>
      <c r="N25" s="14"/>
    </row>
    <row r="26" spans="1:14" x14ac:dyDescent="0.35">
      <c r="A26" s="16">
        <v>13</v>
      </c>
      <c r="B26" s="23" t="s">
        <v>599</v>
      </c>
      <c r="C26" s="45" t="s">
        <v>961</v>
      </c>
      <c r="D26" s="16" t="s">
        <v>942</v>
      </c>
      <c r="E26" s="16">
        <v>1</v>
      </c>
      <c r="F26" s="59">
        <v>100000</v>
      </c>
      <c r="G26" s="59">
        <f>Table001__Page_2_3[[#This Row],[ESTIMATED QUANTITY]]*Table001__Page_2_3[[#This Row],[UNIT COST]]</f>
        <v>100000</v>
      </c>
      <c r="H26" s="59">
        <v>198000</v>
      </c>
      <c r="I26" s="59">
        <f>Table001__Page_2_3[[#This Row],[UNIT COST ]]*Table001__Page_2_3[[#This Row],[ESTIMATED QUANTITY]]</f>
        <v>198000</v>
      </c>
      <c r="J26" s="59">
        <v>100000</v>
      </c>
      <c r="K26" s="59">
        <f>Table001__Page_2_3[[#This Row],[UNIT COST  ]]*Table001__Page_2_3[[#This Row],[ESTIMATED QUANTITY]]</f>
        <v>100000</v>
      </c>
      <c r="L26" s="59">
        <v>100000</v>
      </c>
      <c r="M26" s="59">
        <f>Table001__Page_2_3[[#This Row],[UNIT COST   ]]*Table001__Page_2_3[[#This Row],[ESTIMATED QUANTITY]]</f>
        <v>100000</v>
      </c>
      <c r="N26" s="14"/>
    </row>
    <row r="27" spans="1:14" x14ac:dyDescent="0.35">
      <c r="A27" s="16">
        <v>14</v>
      </c>
      <c r="B27" s="23" t="s">
        <v>962</v>
      </c>
      <c r="C27" s="45" t="s">
        <v>684</v>
      </c>
      <c r="D27" s="16" t="s">
        <v>942</v>
      </c>
      <c r="E27" s="16">
        <v>1</v>
      </c>
      <c r="F27" s="59">
        <v>200000</v>
      </c>
      <c r="G27" s="59">
        <f>Table001__Page_2_3[[#This Row],[ESTIMATED QUANTITY]]*Table001__Page_2_3[[#This Row],[UNIT COST]]</f>
        <v>200000</v>
      </c>
      <c r="H27" s="59">
        <v>394000</v>
      </c>
      <c r="I27" s="59">
        <f>Table001__Page_2_3[[#This Row],[UNIT COST ]]*Table001__Page_2_3[[#This Row],[ESTIMATED QUANTITY]]</f>
        <v>394000</v>
      </c>
      <c r="J27" s="59">
        <v>290000</v>
      </c>
      <c r="K27" s="59">
        <f>Table001__Page_2_3[[#This Row],[UNIT COST  ]]*Table001__Page_2_3[[#This Row],[ESTIMATED QUANTITY]]</f>
        <v>290000</v>
      </c>
      <c r="L27" s="59">
        <v>465000</v>
      </c>
      <c r="M27" s="59">
        <f>Table001__Page_2_3[[#This Row],[UNIT COST   ]]*Table001__Page_2_3[[#This Row],[ESTIMATED QUANTITY]]</f>
        <v>465000</v>
      </c>
      <c r="N27" s="14"/>
    </row>
    <row r="28" spans="1:14" x14ac:dyDescent="0.35">
      <c r="A28" s="16">
        <v>15</v>
      </c>
      <c r="B28" s="23" t="s">
        <v>683</v>
      </c>
      <c r="C28" s="45" t="s">
        <v>963</v>
      </c>
      <c r="D28" s="16" t="s">
        <v>942</v>
      </c>
      <c r="E28" s="16">
        <v>1</v>
      </c>
      <c r="F28" s="59">
        <v>30000</v>
      </c>
      <c r="G28" s="59">
        <f>Table001__Page_2_3[[#This Row],[ESTIMATED QUANTITY]]*Table001__Page_2_3[[#This Row],[UNIT COST]]</f>
        <v>30000</v>
      </c>
      <c r="H28" s="59">
        <v>60700</v>
      </c>
      <c r="I28" s="59">
        <f>Table001__Page_2_3[[#This Row],[UNIT COST ]]*Table001__Page_2_3[[#This Row],[ESTIMATED QUANTITY]]</f>
        <v>60700</v>
      </c>
      <c r="J28" s="59">
        <v>80000</v>
      </c>
      <c r="K28" s="59">
        <f>Table001__Page_2_3[[#This Row],[UNIT COST  ]]*Table001__Page_2_3[[#This Row],[ESTIMATED QUANTITY]]</f>
        <v>80000</v>
      </c>
      <c r="L28" s="59">
        <v>20000</v>
      </c>
      <c r="M28" s="59">
        <f>Table001__Page_2_3[[#This Row],[UNIT COST   ]]*Table001__Page_2_3[[#This Row],[ESTIMATED QUANTITY]]</f>
        <v>20000</v>
      </c>
      <c r="N28" s="14"/>
    </row>
    <row r="29" spans="1:14" x14ac:dyDescent="0.35">
      <c r="A29" s="16">
        <v>16</v>
      </c>
      <c r="B29" s="23" t="s">
        <v>964</v>
      </c>
      <c r="C29" s="45" t="s">
        <v>965</v>
      </c>
      <c r="D29" s="16" t="s">
        <v>945</v>
      </c>
      <c r="E29" s="16">
        <v>50</v>
      </c>
      <c r="F29" s="22">
        <v>400</v>
      </c>
      <c r="G29" s="59">
        <f>Table001__Page_2_3[[#This Row],[ESTIMATED QUANTITY]]*Table001__Page_2_3[[#This Row],[UNIT COST]]</f>
        <v>20000</v>
      </c>
      <c r="H29" s="59">
        <v>568</v>
      </c>
      <c r="I29" s="59">
        <f>Table001__Page_2_3[[#This Row],[UNIT COST ]]*Table001__Page_2_3[[#This Row],[ESTIMATED QUANTITY]]</f>
        <v>28400</v>
      </c>
      <c r="J29" s="59">
        <v>436</v>
      </c>
      <c r="K29" s="59">
        <f>Table001__Page_2_3[[#This Row],[UNIT COST  ]]*Table001__Page_2_3[[#This Row],[ESTIMATED QUANTITY]]</f>
        <v>21800</v>
      </c>
      <c r="L29" s="59">
        <v>1500</v>
      </c>
      <c r="M29" s="59">
        <f>Table001__Page_2_3[[#This Row],[UNIT COST   ]]*Table001__Page_2_3[[#This Row],[ESTIMATED QUANTITY]]</f>
        <v>75000</v>
      </c>
      <c r="N29" s="14"/>
    </row>
    <row r="30" spans="1:14" x14ac:dyDescent="0.35">
      <c r="A30" s="16">
        <v>17</v>
      </c>
      <c r="B30" s="23" t="s">
        <v>966</v>
      </c>
      <c r="C30" s="45" t="s">
        <v>967</v>
      </c>
      <c r="D30" s="16" t="s">
        <v>952</v>
      </c>
      <c r="E30" s="16">
        <v>13295</v>
      </c>
      <c r="F30" s="59">
        <v>20</v>
      </c>
      <c r="G30" s="59">
        <f>Table001__Page_2_3[[#This Row],[ESTIMATED QUANTITY]]*Table001__Page_2_3[[#This Row],[UNIT COST]]</f>
        <v>265900</v>
      </c>
      <c r="H30" s="59">
        <v>21.3</v>
      </c>
      <c r="I30" s="59">
        <f>Table001__Page_2_3[[#This Row],[UNIT COST ]]*Table001__Page_2_3[[#This Row],[ESTIMATED QUANTITY]]</f>
        <v>283183.5</v>
      </c>
      <c r="J30" s="59">
        <v>17.100000000000001</v>
      </c>
      <c r="K30" s="59">
        <f>Table001__Page_2_3[[#This Row],[UNIT COST  ]]*Table001__Page_2_3[[#This Row],[ESTIMATED QUANTITY]]</f>
        <v>227344.50000000003</v>
      </c>
      <c r="L30" s="59">
        <v>13</v>
      </c>
      <c r="M30" s="59">
        <f>Table001__Page_2_3[[#This Row],[UNIT COST   ]]*Table001__Page_2_3[[#This Row],[ESTIMATED QUANTITY]]</f>
        <v>172835</v>
      </c>
      <c r="N30" s="14"/>
    </row>
    <row r="31" spans="1:14" x14ac:dyDescent="0.35">
      <c r="A31" s="16">
        <v>18</v>
      </c>
      <c r="B31" s="23" t="s">
        <v>968</v>
      </c>
      <c r="C31" s="95" t="s">
        <v>969</v>
      </c>
      <c r="D31" s="16" t="s">
        <v>952</v>
      </c>
      <c r="E31" s="16">
        <v>7335</v>
      </c>
      <c r="F31" s="59">
        <v>30</v>
      </c>
      <c r="G31" s="59">
        <f>Table001__Page_2_3[[#This Row],[ESTIMATED QUANTITY]]*Table001__Page_2_3[[#This Row],[UNIT COST]]</f>
        <v>220050</v>
      </c>
      <c r="H31" s="59">
        <v>17.399999999999999</v>
      </c>
      <c r="I31" s="59">
        <f>Table001__Page_2_3[[#This Row],[UNIT COST ]]*Table001__Page_2_3[[#This Row],[ESTIMATED QUANTITY]]</f>
        <v>127628.99999999999</v>
      </c>
      <c r="J31" s="59">
        <v>25.3</v>
      </c>
      <c r="K31" s="59">
        <f>Table001__Page_2_3[[#This Row],[UNIT COST  ]]*Table001__Page_2_3[[#This Row],[ESTIMATED QUANTITY]]</f>
        <v>185575.5</v>
      </c>
      <c r="L31" s="59">
        <v>18</v>
      </c>
      <c r="M31" s="59">
        <f>Table001__Page_2_3[[#This Row],[UNIT COST   ]]*Table001__Page_2_3[[#This Row],[ESTIMATED QUANTITY]]</f>
        <v>132030</v>
      </c>
      <c r="N31" s="14"/>
    </row>
    <row r="32" spans="1:14" ht="29" x14ac:dyDescent="0.35">
      <c r="A32" s="16">
        <v>19</v>
      </c>
      <c r="B32" s="31" t="s">
        <v>970</v>
      </c>
      <c r="C32" s="94" t="s">
        <v>971</v>
      </c>
      <c r="D32" s="20" t="s">
        <v>952</v>
      </c>
      <c r="E32" s="16">
        <v>6335</v>
      </c>
      <c r="F32" s="59">
        <v>35</v>
      </c>
      <c r="G32" s="59">
        <f>Table001__Page_2_3[[#This Row],[ESTIMATED QUANTITY]]*Table001__Page_2_3[[#This Row],[UNIT COST]]</f>
        <v>221725</v>
      </c>
      <c r="H32" s="59">
        <v>20.7</v>
      </c>
      <c r="I32" s="59">
        <f>Table001__Page_2_3[[#This Row],[UNIT COST ]]*Table001__Page_2_3[[#This Row],[ESTIMATED QUANTITY]]</f>
        <v>131134.5</v>
      </c>
      <c r="J32" s="59">
        <v>23.7</v>
      </c>
      <c r="K32" s="59">
        <f>Table001__Page_2_3[[#This Row],[UNIT COST  ]]*Table001__Page_2_3[[#This Row],[ESTIMATED QUANTITY]]</f>
        <v>150139.5</v>
      </c>
      <c r="L32" s="59">
        <v>26</v>
      </c>
      <c r="M32" s="59">
        <f>Table001__Page_2_3[[#This Row],[UNIT COST   ]]*Table001__Page_2_3[[#This Row],[ESTIMATED QUANTITY]]</f>
        <v>164710</v>
      </c>
      <c r="N32" s="14"/>
    </row>
    <row r="33" spans="1:14" ht="29" x14ac:dyDescent="0.35">
      <c r="A33" s="16">
        <v>20</v>
      </c>
      <c r="B33" s="23" t="s">
        <v>972</v>
      </c>
      <c r="C33" s="94" t="s">
        <v>973</v>
      </c>
      <c r="D33" s="16" t="s">
        <v>952</v>
      </c>
      <c r="E33" s="16">
        <v>12130</v>
      </c>
      <c r="F33" s="59">
        <v>45</v>
      </c>
      <c r="G33" s="59">
        <f>Table001__Page_2_3[[#This Row],[ESTIMATED QUANTITY]]*Table001__Page_2_3[[#This Row],[UNIT COST]]</f>
        <v>545850</v>
      </c>
      <c r="H33" s="59">
        <v>24.7</v>
      </c>
      <c r="I33" s="59">
        <f>Table001__Page_2_3[[#This Row],[UNIT COST ]]*Table001__Page_2_3[[#This Row],[ESTIMATED QUANTITY]]</f>
        <v>299611</v>
      </c>
      <c r="J33" s="59">
        <v>24.3</v>
      </c>
      <c r="K33" s="59">
        <f>Table001__Page_2_3[[#This Row],[UNIT COST  ]]*Table001__Page_2_3[[#This Row],[ESTIMATED QUANTITY]]</f>
        <v>294759</v>
      </c>
      <c r="L33" s="59">
        <v>28</v>
      </c>
      <c r="M33" s="59">
        <f>Table001__Page_2_3[[#This Row],[UNIT COST   ]]*Table001__Page_2_3[[#This Row],[ESTIMATED QUANTITY]]</f>
        <v>339640</v>
      </c>
      <c r="N33" s="14"/>
    </row>
    <row r="34" spans="1:14" ht="29" x14ac:dyDescent="0.35">
      <c r="A34" s="16">
        <v>21</v>
      </c>
      <c r="B34" s="23" t="s">
        <v>974</v>
      </c>
      <c r="C34" s="93" t="s">
        <v>975</v>
      </c>
      <c r="D34" s="16" t="s">
        <v>952</v>
      </c>
      <c r="E34" s="16">
        <v>41920</v>
      </c>
      <c r="F34" s="59">
        <v>8</v>
      </c>
      <c r="G34" s="59">
        <f>Table001__Page_2_3[[#This Row],[ESTIMATED QUANTITY]]*Table001__Page_2_3[[#This Row],[UNIT COST]]</f>
        <v>335360</v>
      </c>
      <c r="H34" s="59">
        <v>7.05</v>
      </c>
      <c r="I34" s="59">
        <f>Table001__Page_2_3[[#This Row],[UNIT COST ]]*Table001__Page_2_3[[#This Row],[ESTIMATED QUANTITY]]</f>
        <v>295536</v>
      </c>
      <c r="J34" s="59">
        <v>9.1999999999999993</v>
      </c>
      <c r="K34" s="59">
        <f>Table001__Page_2_3[[#This Row],[UNIT COST  ]]*Table001__Page_2_3[[#This Row],[ESTIMATED QUANTITY]]</f>
        <v>385663.99999999994</v>
      </c>
      <c r="L34" s="59">
        <v>10</v>
      </c>
      <c r="M34" s="59">
        <f>Table001__Page_2_3[[#This Row],[UNIT COST   ]]*Table001__Page_2_3[[#This Row],[ESTIMATED QUANTITY]]</f>
        <v>419200</v>
      </c>
      <c r="N34" s="14"/>
    </row>
    <row r="35" spans="1:14" x14ac:dyDescent="0.35">
      <c r="A35" s="16">
        <v>22</v>
      </c>
      <c r="B35" s="23" t="s">
        <v>976</v>
      </c>
      <c r="C35" s="45" t="s">
        <v>977</v>
      </c>
      <c r="D35" s="16" t="s">
        <v>952</v>
      </c>
      <c r="E35" s="16">
        <v>7235</v>
      </c>
      <c r="F35" s="59">
        <v>7</v>
      </c>
      <c r="G35" s="59">
        <f>Table001__Page_2_3[[#This Row],[ESTIMATED QUANTITY]]*Table001__Page_2_3[[#This Row],[UNIT COST]]</f>
        <v>50645</v>
      </c>
      <c r="H35" s="59">
        <v>3.25</v>
      </c>
      <c r="I35" s="59">
        <f>Table001__Page_2_3[[#This Row],[UNIT COST ]]*Table001__Page_2_3[[#This Row],[ESTIMATED QUANTITY]]</f>
        <v>23513.75</v>
      </c>
      <c r="J35" s="59">
        <v>8.1999999999999993</v>
      </c>
      <c r="K35" s="59">
        <f>Table001__Page_2_3[[#This Row],[UNIT COST  ]]*Table001__Page_2_3[[#This Row],[ESTIMATED QUANTITY]]</f>
        <v>59326.999999999993</v>
      </c>
      <c r="L35" s="59">
        <v>8</v>
      </c>
      <c r="M35" s="59">
        <f>Table001__Page_2_3[[#This Row],[UNIT COST   ]]*Table001__Page_2_3[[#This Row],[ESTIMATED QUANTITY]]</f>
        <v>57880</v>
      </c>
      <c r="N35" s="14"/>
    </row>
    <row r="36" spans="1:14" x14ac:dyDescent="0.35">
      <c r="A36" s="16">
        <v>23</v>
      </c>
      <c r="B36" s="23" t="s">
        <v>485</v>
      </c>
      <c r="C36" s="45" t="s">
        <v>978</v>
      </c>
      <c r="D36" s="16" t="s">
        <v>548</v>
      </c>
      <c r="E36" s="16">
        <v>0.75</v>
      </c>
      <c r="F36" s="59">
        <v>25000</v>
      </c>
      <c r="G36" s="59">
        <f>Table001__Page_2_3[[#This Row],[ESTIMATED QUANTITY]]*Table001__Page_2_3[[#This Row],[UNIT COST]]</f>
        <v>18750</v>
      </c>
      <c r="H36" s="59">
        <v>20000</v>
      </c>
      <c r="I36" s="59">
        <f>Table001__Page_2_3[[#This Row],[UNIT COST ]]*Table001__Page_2_3[[#This Row],[ESTIMATED QUANTITY]]</f>
        <v>15000</v>
      </c>
      <c r="J36" s="59">
        <v>26000</v>
      </c>
      <c r="K36" s="59">
        <f>Table001__Page_2_3[[#This Row],[UNIT COST  ]]*Table001__Page_2_3[[#This Row],[ESTIMATED QUANTITY]]</f>
        <v>19500</v>
      </c>
      <c r="L36" s="59">
        <v>25000</v>
      </c>
      <c r="M36" s="59">
        <f>Table001__Page_2_3[[#This Row],[UNIT COST   ]]*Table001__Page_2_3[[#This Row],[ESTIMATED QUANTITY]]</f>
        <v>18750</v>
      </c>
      <c r="N36" s="14"/>
    </row>
    <row r="37" spans="1:14" s="100" customFormat="1" x14ac:dyDescent="0.35">
      <c r="A37" s="81">
        <v>24</v>
      </c>
      <c r="B37" s="96" t="s">
        <v>502</v>
      </c>
      <c r="C37" s="97" t="s">
        <v>979</v>
      </c>
      <c r="D37" s="81" t="s">
        <v>980</v>
      </c>
      <c r="E37" s="81">
        <v>73900</v>
      </c>
      <c r="F37" s="98">
        <v>20</v>
      </c>
      <c r="G37" s="59">
        <f>Table001__Page_2_3[[#This Row],[ESTIMATED QUANTITY]]*Table001__Page_2_3[[#This Row],[UNIT COST]]</f>
        <v>1478000</v>
      </c>
      <c r="H37" s="98">
        <v>30.7</v>
      </c>
      <c r="I37" s="59">
        <f>Table001__Page_2_3[[#This Row],[UNIT COST ]]*Table001__Page_2_3[[#This Row],[ESTIMATED QUANTITY]]</f>
        <v>2268730</v>
      </c>
      <c r="J37" s="98">
        <v>24.35</v>
      </c>
      <c r="K37" s="59">
        <f>Table001__Page_2_3[[#This Row],[UNIT COST  ]]*Table001__Page_2_3[[#This Row],[ESTIMATED QUANTITY]]</f>
        <v>1799465</v>
      </c>
      <c r="L37" s="98">
        <v>21</v>
      </c>
      <c r="M37" s="59">
        <f>Table001__Page_2_3[[#This Row],[UNIT COST   ]]*Table001__Page_2_3[[#This Row],[ESTIMATED QUANTITY]]</f>
        <v>1551900</v>
      </c>
      <c r="N37" s="99"/>
    </row>
    <row r="38" spans="1:14" x14ac:dyDescent="0.35">
      <c r="A38" s="16">
        <v>25</v>
      </c>
      <c r="B38" s="23" t="s">
        <v>775</v>
      </c>
      <c r="C38" s="45" t="s">
        <v>981</v>
      </c>
      <c r="D38" s="16" t="s">
        <v>980</v>
      </c>
      <c r="E38" s="16">
        <v>4500</v>
      </c>
      <c r="F38" s="59">
        <v>35</v>
      </c>
      <c r="G38" s="59">
        <f>Table001__Page_2_3[[#This Row],[ESTIMATED QUANTITY]]*Table001__Page_2_3[[#This Row],[UNIT COST]]</f>
        <v>157500</v>
      </c>
      <c r="H38" s="59">
        <v>30.7</v>
      </c>
      <c r="I38" s="59">
        <f>Table001__Page_2_3[[#This Row],[UNIT COST ]]*Table001__Page_2_3[[#This Row],[ESTIMATED QUANTITY]]</f>
        <v>138150</v>
      </c>
      <c r="J38" s="59">
        <v>40</v>
      </c>
      <c r="K38" s="59">
        <f>Table001__Page_2_3[[#This Row],[UNIT COST  ]]*Table001__Page_2_3[[#This Row],[ESTIMATED QUANTITY]]</f>
        <v>180000</v>
      </c>
      <c r="L38" s="59">
        <v>50</v>
      </c>
      <c r="M38" s="59">
        <f>Table001__Page_2_3[[#This Row],[UNIT COST   ]]*Table001__Page_2_3[[#This Row],[ESTIMATED QUANTITY]]</f>
        <v>225000</v>
      </c>
      <c r="N38" s="14"/>
    </row>
    <row r="39" spans="1:14" x14ac:dyDescent="0.35">
      <c r="A39" s="16">
        <v>26</v>
      </c>
      <c r="B39" s="23" t="s">
        <v>777</v>
      </c>
      <c r="C39" s="45" t="s">
        <v>982</v>
      </c>
      <c r="D39" s="16" t="s">
        <v>980</v>
      </c>
      <c r="E39" s="16">
        <v>9385</v>
      </c>
      <c r="F39" s="59">
        <v>35</v>
      </c>
      <c r="G39" s="59">
        <f>Table001__Page_2_3[[#This Row],[ESTIMATED QUANTITY]]*Table001__Page_2_3[[#This Row],[UNIT COST]]</f>
        <v>328475</v>
      </c>
      <c r="H39" s="59">
        <v>25.8</v>
      </c>
      <c r="I39" s="59">
        <f>Table001__Page_2_3[[#This Row],[UNIT COST ]]*Table001__Page_2_3[[#This Row],[ESTIMATED QUANTITY]]</f>
        <v>242133</v>
      </c>
      <c r="J39" s="59">
        <v>40</v>
      </c>
      <c r="K39" s="59">
        <f>Table001__Page_2_3[[#This Row],[UNIT COST  ]]*Table001__Page_2_3[[#This Row],[ESTIMATED QUANTITY]]</f>
        <v>375400</v>
      </c>
      <c r="L39" s="59">
        <v>32</v>
      </c>
      <c r="M39" s="59">
        <f>Table001__Page_2_3[[#This Row],[UNIT COST   ]]*Table001__Page_2_3[[#This Row],[ESTIMATED QUANTITY]]</f>
        <v>300320</v>
      </c>
      <c r="N39" s="14"/>
    </row>
    <row r="40" spans="1:14" x14ac:dyDescent="0.35">
      <c r="A40" s="16">
        <v>27</v>
      </c>
      <c r="B40" s="23" t="s">
        <v>983</v>
      </c>
      <c r="C40" s="45" t="s">
        <v>984</v>
      </c>
      <c r="D40" s="16" t="s">
        <v>980</v>
      </c>
      <c r="E40" s="16">
        <v>40500</v>
      </c>
      <c r="F40" s="59">
        <v>12</v>
      </c>
      <c r="G40" s="59">
        <f>Table001__Page_2_3[[#This Row],[ESTIMATED QUANTITY]]*Table001__Page_2_3[[#This Row],[UNIT COST]]</f>
        <v>486000</v>
      </c>
      <c r="H40" s="59">
        <v>11.6</v>
      </c>
      <c r="I40" s="59">
        <f>Table001__Page_2_3[[#This Row],[UNIT COST ]]*Table001__Page_2_3[[#This Row],[ESTIMATED QUANTITY]]</f>
        <v>469800</v>
      </c>
      <c r="J40" s="59">
        <v>10.4</v>
      </c>
      <c r="K40" s="59">
        <f>Table001__Page_2_3[[#This Row],[UNIT COST  ]]*Table001__Page_2_3[[#This Row],[ESTIMATED QUANTITY]]</f>
        <v>421200</v>
      </c>
      <c r="L40" s="59">
        <v>4</v>
      </c>
      <c r="M40" s="59">
        <f>Table001__Page_2_3[[#This Row],[UNIT COST   ]]*Table001__Page_2_3[[#This Row],[ESTIMATED QUANTITY]]</f>
        <v>162000</v>
      </c>
      <c r="N40" s="14"/>
    </row>
    <row r="41" spans="1:14" x14ac:dyDescent="0.35">
      <c r="A41" s="16">
        <v>28</v>
      </c>
      <c r="B41" s="23" t="s">
        <v>985</v>
      </c>
      <c r="C41" s="45" t="s">
        <v>986</v>
      </c>
      <c r="D41" s="16" t="s">
        <v>952</v>
      </c>
      <c r="E41" s="16">
        <v>54420</v>
      </c>
      <c r="F41" s="59">
        <v>6</v>
      </c>
      <c r="G41" s="59">
        <f>Table001__Page_2_3[[#This Row],[ESTIMATED QUANTITY]]*Table001__Page_2_3[[#This Row],[UNIT COST]]</f>
        <v>326520</v>
      </c>
      <c r="H41" s="59">
        <v>4.3</v>
      </c>
      <c r="I41" s="59">
        <f>Table001__Page_2_3[[#This Row],[UNIT COST ]]*Table001__Page_2_3[[#This Row],[ESTIMATED QUANTITY]]</f>
        <v>234006</v>
      </c>
      <c r="J41" s="59">
        <v>6.7</v>
      </c>
      <c r="K41" s="59">
        <f>Table001__Page_2_3[[#This Row],[UNIT COST  ]]*Table001__Page_2_3[[#This Row],[ESTIMATED QUANTITY]]</f>
        <v>364614</v>
      </c>
      <c r="L41" s="59">
        <v>5</v>
      </c>
      <c r="M41" s="59">
        <f>Table001__Page_2_3[[#This Row],[UNIT COST   ]]*Table001__Page_2_3[[#This Row],[ESTIMATED QUANTITY]]</f>
        <v>272100</v>
      </c>
      <c r="N41" s="14"/>
    </row>
    <row r="42" spans="1:14" ht="14.5" customHeight="1" x14ac:dyDescent="0.35">
      <c r="A42" s="16">
        <v>29</v>
      </c>
      <c r="B42" s="31" t="s">
        <v>987</v>
      </c>
      <c r="C42" s="27" t="s">
        <v>988</v>
      </c>
      <c r="D42" s="20" t="s">
        <v>435</v>
      </c>
      <c r="E42" s="16">
        <v>1880</v>
      </c>
      <c r="F42" s="59">
        <v>280</v>
      </c>
      <c r="G42" s="59">
        <f>Table001__Page_2_3[[#This Row],[ESTIMATED QUANTITY]]*Table001__Page_2_3[[#This Row],[UNIT COST]]</f>
        <v>526400</v>
      </c>
      <c r="H42" s="59">
        <v>246</v>
      </c>
      <c r="I42" s="59">
        <f>Table001__Page_2_3[[#This Row],[UNIT COST ]]*Table001__Page_2_3[[#This Row],[ESTIMATED QUANTITY]]</f>
        <v>462480</v>
      </c>
      <c r="J42" s="59">
        <v>285</v>
      </c>
      <c r="K42" s="59">
        <f>Table001__Page_2_3[[#This Row],[UNIT COST  ]]*Table001__Page_2_3[[#This Row],[ESTIMATED QUANTITY]]</f>
        <v>535800</v>
      </c>
      <c r="L42" s="59">
        <v>325</v>
      </c>
      <c r="M42" s="59">
        <f>Table001__Page_2_3[[#This Row],[UNIT COST   ]]*Table001__Page_2_3[[#This Row],[ESTIMATED QUANTITY]]</f>
        <v>611000</v>
      </c>
      <c r="N42" s="14"/>
    </row>
    <row r="43" spans="1:14" ht="14.5" customHeight="1" x14ac:dyDescent="0.35">
      <c r="A43" s="16">
        <v>30</v>
      </c>
      <c r="B43" s="31" t="s">
        <v>989</v>
      </c>
      <c r="C43" s="27" t="s">
        <v>990</v>
      </c>
      <c r="D43" s="20" t="s">
        <v>435</v>
      </c>
      <c r="E43" s="16">
        <v>12990</v>
      </c>
      <c r="F43" s="59">
        <v>190</v>
      </c>
      <c r="G43" s="59">
        <f>Table001__Page_2_3[[#This Row],[ESTIMATED QUANTITY]]*Table001__Page_2_3[[#This Row],[UNIT COST]]</f>
        <v>2468100</v>
      </c>
      <c r="H43" s="59">
        <v>175</v>
      </c>
      <c r="I43" s="59">
        <f>Table001__Page_2_3[[#This Row],[UNIT COST ]]*Table001__Page_2_3[[#This Row],[ESTIMATED QUANTITY]]</f>
        <v>2273250</v>
      </c>
      <c r="J43" s="59">
        <v>214</v>
      </c>
      <c r="K43" s="59">
        <f>Table001__Page_2_3[[#This Row],[UNIT COST  ]]*Table001__Page_2_3[[#This Row],[ESTIMATED QUANTITY]]</f>
        <v>2779860</v>
      </c>
      <c r="L43" s="59">
        <v>101</v>
      </c>
      <c r="M43" s="59">
        <f>Table001__Page_2_3[[#This Row],[UNIT COST   ]]*Table001__Page_2_3[[#This Row],[ESTIMATED QUANTITY]]</f>
        <v>1311990</v>
      </c>
      <c r="N43" s="14"/>
    </row>
    <row r="44" spans="1:14" x14ac:dyDescent="0.35">
      <c r="A44" s="16">
        <v>31</v>
      </c>
      <c r="B44" s="31" t="s">
        <v>789</v>
      </c>
      <c r="C44" s="27" t="s">
        <v>616</v>
      </c>
      <c r="D44" s="20" t="s">
        <v>446</v>
      </c>
      <c r="E44" s="16">
        <v>13420</v>
      </c>
      <c r="F44" s="59">
        <v>6</v>
      </c>
      <c r="G44" s="59">
        <f>Table001__Page_2_3[[#This Row],[ESTIMATED QUANTITY]]*Table001__Page_2_3[[#This Row],[UNIT COST]]</f>
        <v>80520</v>
      </c>
      <c r="H44" s="59">
        <v>4</v>
      </c>
      <c r="I44" s="59">
        <f>Table001__Page_2_3[[#This Row],[UNIT COST ]]*Table001__Page_2_3[[#This Row],[ESTIMATED QUANTITY]]</f>
        <v>53680</v>
      </c>
      <c r="J44" s="59">
        <v>4.9000000000000004</v>
      </c>
      <c r="K44" s="59">
        <f>Table001__Page_2_3[[#This Row],[UNIT COST  ]]*Table001__Page_2_3[[#This Row],[ESTIMATED QUANTITY]]</f>
        <v>65758</v>
      </c>
      <c r="L44" s="59">
        <v>6</v>
      </c>
      <c r="M44" s="59">
        <f>Table001__Page_2_3[[#This Row],[UNIT COST   ]]*Table001__Page_2_3[[#This Row],[ESTIMATED QUANTITY]]</f>
        <v>80520</v>
      </c>
      <c r="N44" s="14"/>
    </row>
    <row r="45" spans="1:14" x14ac:dyDescent="0.35">
      <c r="A45" s="16">
        <v>32</v>
      </c>
      <c r="B45" s="31" t="s">
        <v>791</v>
      </c>
      <c r="C45" s="27" t="s">
        <v>618</v>
      </c>
      <c r="D45" s="20" t="s">
        <v>446</v>
      </c>
      <c r="E45" s="16">
        <v>8100</v>
      </c>
      <c r="F45" s="59">
        <v>7</v>
      </c>
      <c r="G45" s="59">
        <f>Table001__Page_2_3[[#This Row],[ESTIMATED QUANTITY]]*Table001__Page_2_3[[#This Row],[UNIT COST]]</f>
        <v>56700</v>
      </c>
      <c r="H45" s="59">
        <v>5</v>
      </c>
      <c r="I45" s="59">
        <f>Table001__Page_2_3[[#This Row],[UNIT COST ]]*Table001__Page_2_3[[#This Row],[ESTIMATED QUANTITY]]</f>
        <v>40500</v>
      </c>
      <c r="J45" s="59">
        <v>6.1</v>
      </c>
      <c r="K45" s="59">
        <f>Table001__Page_2_3[[#This Row],[UNIT COST  ]]*Table001__Page_2_3[[#This Row],[ESTIMATED QUANTITY]]</f>
        <v>49410</v>
      </c>
      <c r="L45" s="59">
        <v>5</v>
      </c>
      <c r="M45" s="59">
        <f>Table001__Page_2_3[[#This Row],[UNIT COST   ]]*Table001__Page_2_3[[#This Row],[ESTIMATED QUANTITY]]</f>
        <v>40500</v>
      </c>
      <c r="N45" s="14"/>
    </row>
    <row r="46" spans="1:14" x14ac:dyDescent="0.35">
      <c r="A46" s="16">
        <v>33</v>
      </c>
      <c r="B46" s="31" t="s">
        <v>991</v>
      </c>
      <c r="C46" s="27" t="s">
        <v>992</v>
      </c>
      <c r="D46" s="20" t="s">
        <v>435</v>
      </c>
      <c r="E46" s="16">
        <v>2960</v>
      </c>
      <c r="F46" s="101">
        <v>40</v>
      </c>
      <c r="G46" s="59">
        <f>Table001__Page_2_3[[#This Row],[ESTIMATED QUANTITY]]*Table001__Page_2_3[[#This Row],[UNIT COST]]</f>
        <v>118400</v>
      </c>
      <c r="H46" s="59">
        <v>40</v>
      </c>
      <c r="I46" s="59">
        <f>Table001__Page_2_3[[#This Row],[UNIT COST ]]*Table001__Page_2_3[[#This Row],[ESTIMATED QUANTITY]]</f>
        <v>118400</v>
      </c>
      <c r="J46" s="59">
        <v>33.25</v>
      </c>
      <c r="K46" s="59">
        <f>Table001__Page_2_3[[#This Row],[UNIT COST  ]]*Table001__Page_2_3[[#This Row],[ESTIMATED QUANTITY]]</f>
        <v>98420</v>
      </c>
      <c r="L46" s="59">
        <v>31</v>
      </c>
      <c r="M46" s="59">
        <f>Table001__Page_2_3[[#This Row],[UNIT COST   ]]*Table001__Page_2_3[[#This Row],[ESTIMATED QUANTITY]]</f>
        <v>91760</v>
      </c>
      <c r="N46" s="14"/>
    </row>
    <row r="47" spans="1:14" x14ac:dyDescent="0.35">
      <c r="A47" s="16">
        <v>34</v>
      </c>
      <c r="B47" s="31" t="s">
        <v>993</v>
      </c>
      <c r="C47" s="27" t="s">
        <v>994</v>
      </c>
      <c r="D47" s="20" t="s">
        <v>435</v>
      </c>
      <c r="E47" s="16">
        <v>760</v>
      </c>
      <c r="F47" s="59">
        <v>165</v>
      </c>
      <c r="G47" s="59">
        <f>Table001__Page_2_3[[#This Row],[ESTIMATED QUANTITY]]*Table001__Page_2_3[[#This Row],[UNIT COST]]</f>
        <v>125400</v>
      </c>
      <c r="H47" s="59">
        <v>120</v>
      </c>
      <c r="I47" s="59">
        <f>Table001__Page_2_3[[#This Row],[UNIT COST ]]*Table001__Page_2_3[[#This Row],[ESTIMATED QUANTITY]]</f>
        <v>91200</v>
      </c>
      <c r="J47" s="59">
        <v>147</v>
      </c>
      <c r="K47" s="59">
        <f>Table001__Page_2_3[[#This Row],[UNIT COST  ]]*Table001__Page_2_3[[#This Row],[ESTIMATED QUANTITY]]</f>
        <v>111720</v>
      </c>
      <c r="L47" s="59">
        <v>175</v>
      </c>
      <c r="M47" s="59">
        <f>Table001__Page_2_3[[#This Row],[UNIT COST   ]]*Table001__Page_2_3[[#This Row],[ESTIMATED QUANTITY]]</f>
        <v>133000</v>
      </c>
      <c r="N47" s="14"/>
    </row>
    <row r="48" spans="1:14" x14ac:dyDescent="0.35">
      <c r="A48" s="16">
        <v>35</v>
      </c>
      <c r="B48" s="31" t="s">
        <v>995</v>
      </c>
      <c r="C48" s="27" t="s">
        <v>996</v>
      </c>
      <c r="D48" s="20" t="s">
        <v>435</v>
      </c>
      <c r="E48" s="16">
        <v>700</v>
      </c>
      <c r="F48" s="59">
        <v>180</v>
      </c>
      <c r="G48" s="59">
        <f>Table001__Page_2_3[[#This Row],[ESTIMATED QUANTITY]]*Table001__Page_2_3[[#This Row],[UNIT COST]]</f>
        <v>126000</v>
      </c>
      <c r="H48" s="59">
        <v>155</v>
      </c>
      <c r="I48" s="59">
        <f>Table001__Page_2_3[[#This Row],[UNIT COST ]]*Table001__Page_2_3[[#This Row],[ESTIMATED QUANTITY]]</f>
        <v>108500</v>
      </c>
      <c r="J48" s="59">
        <v>190</v>
      </c>
      <c r="K48" s="59">
        <f>Table001__Page_2_3[[#This Row],[UNIT COST  ]]*Table001__Page_2_3[[#This Row],[ESTIMATED QUANTITY]]</f>
        <v>133000</v>
      </c>
      <c r="L48" s="59">
        <v>185</v>
      </c>
      <c r="M48" s="59">
        <f>Table001__Page_2_3[[#This Row],[UNIT COST   ]]*Table001__Page_2_3[[#This Row],[ESTIMATED QUANTITY]]</f>
        <v>129500</v>
      </c>
      <c r="N48" s="14"/>
    </row>
    <row r="49" spans="1:14" x14ac:dyDescent="0.35">
      <c r="A49" s="16">
        <v>36</v>
      </c>
      <c r="B49" s="31" t="s">
        <v>793</v>
      </c>
      <c r="C49" s="27" t="s">
        <v>997</v>
      </c>
      <c r="D49" s="20" t="s">
        <v>998</v>
      </c>
      <c r="E49" s="16">
        <v>57855</v>
      </c>
      <c r="F49" s="59">
        <v>1</v>
      </c>
      <c r="G49" s="59">
        <f>Table001__Page_2_3[[#This Row],[ESTIMATED QUANTITY]]*Table001__Page_2_3[[#This Row],[UNIT COST]]</f>
        <v>57855</v>
      </c>
      <c r="H49" s="59">
        <v>0.82</v>
      </c>
      <c r="I49" s="59">
        <f>Table001__Page_2_3[[#This Row],[UNIT COST ]]*Table001__Page_2_3[[#This Row],[ESTIMATED QUANTITY]]</f>
        <v>47441.1</v>
      </c>
      <c r="J49" s="59">
        <v>0.55000000000000004</v>
      </c>
      <c r="K49" s="59">
        <f>Table001__Page_2_3[[#This Row],[UNIT COST  ]]*Table001__Page_2_3[[#This Row],[ESTIMATED QUANTITY]]</f>
        <v>31820.250000000004</v>
      </c>
      <c r="L49" s="59">
        <v>1</v>
      </c>
      <c r="M49" s="59">
        <f>Table001__Page_2_3[[#This Row],[UNIT COST   ]]*Table001__Page_2_3[[#This Row],[ESTIMATED QUANTITY]]</f>
        <v>57855</v>
      </c>
      <c r="N49" s="14"/>
    </row>
    <row r="50" spans="1:14" x14ac:dyDescent="0.35">
      <c r="A50" s="16">
        <v>37</v>
      </c>
      <c r="B50" s="31" t="s">
        <v>795</v>
      </c>
      <c r="C50" s="27" t="s">
        <v>999</v>
      </c>
      <c r="D50" s="20" t="s">
        <v>998</v>
      </c>
      <c r="E50" s="16">
        <v>18335</v>
      </c>
      <c r="F50" s="59">
        <v>0.6</v>
      </c>
      <c r="G50" s="59">
        <f>Table001__Page_2_3[[#This Row],[ESTIMATED QUANTITY]]*Table001__Page_2_3[[#This Row],[UNIT COST]]</f>
        <v>11001</v>
      </c>
      <c r="H50" s="59">
        <v>0.33</v>
      </c>
      <c r="I50" s="59">
        <f>Table001__Page_2_3[[#This Row],[UNIT COST ]]*Table001__Page_2_3[[#This Row],[ESTIMATED QUANTITY]]</f>
        <v>6050.55</v>
      </c>
      <c r="J50" s="59">
        <v>0.8</v>
      </c>
      <c r="K50" s="59">
        <f>Table001__Page_2_3[[#This Row],[UNIT COST  ]]*Table001__Page_2_3[[#This Row],[ESTIMATED QUANTITY]]</f>
        <v>14668</v>
      </c>
      <c r="L50" s="59">
        <v>0.75</v>
      </c>
      <c r="M50" s="59">
        <f>Table001__Page_2_3[[#This Row],[UNIT COST   ]]*Table001__Page_2_3[[#This Row],[ESTIMATED QUANTITY]]</f>
        <v>13751.25</v>
      </c>
      <c r="N50" s="14"/>
    </row>
    <row r="51" spans="1:14" x14ac:dyDescent="0.35">
      <c r="A51" s="16">
        <v>38</v>
      </c>
      <c r="B51" s="31" t="s">
        <v>797</v>
      </c>
      <c r="C51" s="94" t="s">
        <v>1000</v>
      </c>
      <c r="D51" s="20" t="s">
        <v>998</v>
      </c>
      <c r="E51" s="16">
        <v>7290</v>
      </c>
      <c r="F51" s="59">
        <v>0.75</v>
      </c>
      <c r="G51" s="59">
        <f>Table001__Page_2_3[[#This Row],[ESTIMATED QUANTITY]]*Table001__Page_2_3[[#This Row],[UNIT COST]]</f>
        <v>5467.5</v>
      </c>
      <c r="H51" s="59">
        <v>0.41</v>
      </c>
      <c r="I51" s="59">
        <f>Table001__Page_2_3[[#This Row],[UNIT COST ]]*Table001__Page_2_3[[#This Row],[ESTIMATED QUANTITY]]</f>
        <v>2988.8999999999996</v>
      </c>
      <c r="J51" s="59">
        <v>0.8</v>
      </c>
      <c r="K51" s="59">
        <f>Table001__Page_2_3[[#This Row],[UNIT COST  ]]*Table001__Page_2_3[[#This Row],[ESTIMATED QUANTITY]]</f>
        <v>5832</v>
      </c>
      <c r="L51" s="59">
        <v>0.75</v>
      </c>
      <c r="M51" s="59">
        <f>Table001__Page_2_3[[#This Row],[UNIT COST   ]]*Table001__Page_2_3[[#This Row],[ESTIMATED QUANTITY]]</f>
        <v>5467.5</v>
      </c>
      <c r="N51" s="14"/>
    </row>
    <row r="52" spans="1:14" x14ac:dyDescent="0.35">
      <c r="A52" s="16">
        <v>39</v>
      </c>
      <c r="B52" s="31" t="s">
        <v>805</v>
      </c>
      <c r="C52" s="27" t="s">
        <v>1001</v>
      </c>
      <c r="D52" s="20" t="s">
        <v>952</v>
      </c>
      <c r="E52" s="16">
        <v>47415</v>
      </c>
      <c r="F52" s="59">
        <v>2</v>
      </c>
      <c r="G52" s="59">
        <f>Table001__Page_2_3[[#This Row],[ESTIMATED QUANTITY]]*Table001__Page_2_3[[#This Row],[UNIT COST]]</f>
        <v>94830</v>
      </c>
      <c r="H52" s="59">
        <v>2.0499999999999998</v>
      </c>
      <c r="I52" s="59">
        <f>Table001__Page_2_3[[#This Row],[UNIT COST ]]*Table001__Page_2_3[[#This Row],[ESTIMATED QUANTITY]]</f>
        <v>97200.749999999985</v>
      </c>
      <c r="J52" s="59">
        <v>2.2999999999999998</v>
      </c>
      <c r="K52" s="59">
        <f>Table001__Page_2_3[[#This Row],[UNIT COST  ]]*Table001__Page_2_3[[#This Row],[ESTIMATED QUANTITY]]</f>
        <v>109054.49999999999</v>
      </c>
      <c r="L52" s="59">
        <v>2</v>
      </c>
      <c r="M52" s="59">
        <f>Table001__Page_2_3[[#This Row],[UNIT COST   ]]*Table001__Page_2_3[[#This Row],[ESTIMATED QUANTITY]]</f>
        <v>94830</v>
      </c>
      <c r="N52" s="14"/>
    </row>
    <row r="53" spans="1:14" x14ac:dyDescent="0.35">
      <c r="A53" s="16">
        <v>40</v>
      </c>
      <c r="B53" s="31" t="s">
        <v>512</v>
      </c>
      <c r="C53" s="27" t="s">
        <v>1002</v>
      </c>
      <c r="D53" s="20" t="s">
        <v>949</v>
      </c>
      <c r="E53" s="16">
        <v>1630</v>
      </c>
      <c r="F53" s="59">
        <v>50</v>
      </c>
      <c r="G53" s="59">
        <f>Table001__Page_2_3[[#This Row],[ESTIMATED QUANTITY]]*Table001__Page_2_3[[#This Row],[UNIT COST]]</f>
        <v>81500</v>
      </c>
      <c r="H53" s="59">
        <v>32.9</v>
      </c>
      <c r="I53" s="59">
        <f>Table001__Page_2_3[[#This Row],[UNIT COST ]]*Table001__Page_2_3[[#This Row],[ESTIMATED QUANTITY]]</f>
        <v>53627</v>
      </c>
      <c r="J53" s="59">
        <v>39</v>
      </c>
      <c r="K53" s="59">
        <f>Table001__Page_2_3[[#This Row],[UNIT COST  ]]*Table001__Page_2_3[[#This Row],[ESTIMATED QUANTITY]]</f>
        <v>63570</v>
      </c>
      <c r="L53" s="59">
        <v>45</v>
      </c>
      <c r="M53" s="59">
        <f>Table001__Page_2_3[[#This Row],[UNIT COST   ]]*Table001__Page_2_3[[#This Row],[ESTIMATED QUANTITY]]</f>
        <v>73350</v>
      </c>
      <c r="N53" s="14"/>
    </row>
    <row r="54" spans="1:14" x14ac:dyDescent="0.35">
      <c r="A54" s="16">
        <v>41</v>
      </c>
      <c r="B54" s="31" t="s">
        <v>514</v>
      </c>
      <c r="C54" s="27" t="s">
        <v>1003</v>
      </c>
      <c r="D54" s="20" t="s">
        <v>949</v>
      </c>
      <c r="E54" s="16">
        <v>70</v>
      </c>
      <c r="F54" s="59">
        <v>45</v>
      </c>
      <c r="G54" s="59">
        <f>Table001__Page_2_3[[#This Row],[ESTIMATED QUANTITY]]*Table001__Page_2_3[[#This Row],[UNIT COST]]</f>
        <v>3150</v>
      </c>
      <c r="H54" s="59">
        <v>25.9</v>
      </c>
      <c r="I54" s="59">
        <f>Table001__Page_2_3[[#This Row],[UNIT COST ]]*Table001__Page_2_3[[#This Row],[ESTIMATED QUANTITY]]</f>
        <v>1813</v>
      </c>
      <c r="J54" s="59">
        <v>84</v>
      </c>
      <c r="K54" s="59">
        <f>Table001__Page_2_3[[#This Row],[UNIT COST  ]]*Table001__Page_2_3[[#This Row],[ESTIMATED QUANTITY]]</f>
        <v>5880</v>
      </c>
      <c r="L54" s="59">
        <v>45</v>
      </c>
      <c r="M54" s="59">
        <f>Table001__Page_2_3[[#This Row],[UNIT COST   ]]*Table001__Page_2_3[[#This Row],[ESTIMATED QUANTITY]]</f>
        <v>3150</v>
      </c>
      <c r="N54" s="14"/>
    </row>
    <row r="55" spans="1:14" x14ac:dyDescent="0.35">
      <c r="A55" s="16">
        <v>42</v>
      </c>
      <c r="B55" s="31" t="s">
        <v>929</v>
      </c>
      <c r="C55" s="27" t="s">
        <v>1004</v>
      </c>
      <c r="D55" s="20" t="s">
        <v>945</v>
      </c>
      <c r="E55" s="16">
        <v>1</v>
      </c>
      <c r="F55" s="59">
        <v>2500</v>
      </c>
      <c r="G55" s="59">
        <f>Table001__Page_2_3[[#This Row],[ESTIMATED QUANTITY]]*Table001__Page_2_3[[#This Row],[UNIT COST]]</f>
        <v>2500</v>
      </c>
      <c r="H55" s="59">
        <v>3860</v>
      </c>
      <c r="I55" s="59">
        <f>Table001__Page_2_3[[#This Row],[UNIT COST ]]*Table001__Page_2_3[[#This Row],[ESTIMATED QUANTITY]]</f>
        <v>3860</v>
      </c>
      <c r="J55" s="59">
        <v>2450</v>
      </c>
      <c r="K55" s="59">
        <f>Table001__Page_2_3[[#This Row],[UNIT COST  ]]*Table001__Page_2_3[[#This Row],[ESTIMATED QUANTITY]]</f>
        <v>2450</v>
      </c>
      <c r="L55" s="59">
        <v>4000</v>
      </c>
      <c r="M55" s="59">
        <f>Table001__Page_2_3[[#This Row],[UNIT COST   ]]*Table001__Page_2_3[[#This Row],[ESTIMATED QUANTITY]]</f>
        <v>4000</v>
      </c>
      <c r="N55" s="14"/>
    </row>
    <row r="56" spans="1:14" ht="29" x14ac:dyDescent="0.35">
      <c r="A56" s="16">
        <v>43</v>
      </c>
      <c r="B56" s="31" t="s">
        <v>1005</v>
      </c>
      <c r="C56" s="94" t="s">
        <v>1006</v>
      </c>
      <c r="D56" s="20" t="s">
        <v>949</v>
      </c>
      <c r="E56" s="16">
        <v>1000</v>
      </c>
      <c r="F56" s="59">
        <v>40</v>
      </c>
      <c r="G56" s="59">
        <f>Table001__Page_2_3[[#This Row],[ESTIMATED QUANTITY]]*Table001__Page_2_3[[#This Row],[UNIT COST]]</f>
        <v>40000</v>
      </c>
      <c r="H56" s="59">
        <v>15.4</v>
      </c>
      <c r="I56" s="59">
        <f>Table001__Page_2_3[[#This Row],[UNIT COST ]]*Table001__Page_2_3[[#This Row],[ESTIMATED QUANTITY]]</f>
        <v>15400</v>
      </c>
      <c r="J56" s="59">
        <v>25</v>
      </c>
      <c r="K56" s="59">
        <f>Table001__Page_2_3[[#This Row],[UNIT COST  ]]*Table001__Page_2_3[[#This Row],[ESTIMATED QUANTITY]]</f>
        <v>25000</v>
      </c>
      <c r="L56" s="59">
        <v>40</v>
      </c>
      <c r="M56" s="59">
        <f>Table001__Page_2_3[[#This Row],[UNIT COST   ]]*Table001__Page_2_3[[#This Row],[ESTIMATED QUANTITY]]</f>
        <v>40000</v>
      </c>
      <c r="N56" s="14"/>
    </row>
    <row r="57" spans="1:14" x14ac:dyDescent="0.35">
      <c r="A57" s="16">
        <v>44</v>
      </c>
      <c r="B57" s="31" t="s">
        <v>553</v>
      </c>
      <c r="C57" s="27" t="s">
        <v>1007</v>
      </c>
      <c r="D57" s="20" t="s">
        <v>949</v>
      </c>
      <c r="E57" s="16">
        <v>16</v>
      </c>
      <c r="F57" s="59">
        <v>150</v>
      </c>
      <c r="G57" s="59">
        <f>Table001__Page_2_3[[#This Row],[ESTIMATED QUANTITY]]*Table001__Page_2_3[[#This Row],[UNIT COST]]</f>
        <v>2400</v>
      </c>
      <c r="H57" s="59">
        <v>157</v>
      </c>
      <c r="I57" s="59">
        <f>Table001__Page_2_3[[#This Row],[UNIT COST ]]*Table001__Page_2_3[[#This Row],[ESTIMATED QUANTITY]]</f>
        <v>2512</v>
      </c>
      <c r="J57" s="59">
        <v>172</v>
      </c>
      <c r="K57" s="59">
        <f>Table001__Page_2_3[[#This Row],[UNIT COST  ]]*Table001__Page_2_3[[#This Row],[ESTIMATED QUANTITY]]</f>
        <v>2752</v>
      </c>
      <c r="L57" s="59">
        <v>150</v>
      </c>
      <c r="M57" s="59">
        <f>Table001__Page_2_3[[#This Row],[UNIT COST   ]]*Table001__Page_2_3[[#This Row],[ESTIMATED QUANTITY]]</f>
        <v>2400</v>
      </c>
      <c r="N57" s="14"/>
    </row>
    <row r="58" spans="1:14" x14ac:dyDescent="0.35">
      <c r="A58" s="16">
        <v>45</v>
      </c>
      <c r="B58" s="31" t="s">
        <v>557</v>
      </c>
      <c r="C58" s="27" t="s">
        <v>1008</v>
      </c>
      <c r="D58" s="20" t="s">
        <v>949</v>
      </c>
      <c r="E58" s="16">
        <v>325</v>
      </c>
      <c r="F58" s="59">
        <v>165</v>
      </c>
      <c r="G58" s="59">
        <f>Table001__Page_2_3[[#This Row],[ESTIMATED QUANTITY]]*Table001__Page_2_3[[#This Row],[UNIT COST]]</f>
        <v>53625</v>
      </c>
      <c r="H58" s="59">
        <v>157</v>
      </c>
      <c r="I58" s="59">
        <f>Table001__Page_2_3[[#This Row],[UNIT COST ]]*Table001__Page_2_3[[#This Row],[ESTIMATED QUANTITY]]</f>
        <v>51025</v>
      </c>
      <c r="J58" s="59">
        <v>188</v>
      </c>
      <c r="K58" s="59">
        <f>Table001__Page_2_3[[#This Row],[UNIT COST  ]]*Table001__Page_2_3[[#This Row],[ESTIMATED QUANTITY]]</f>
        <v>61100</v>
      </c>
      <c r="L58" s="59">
        <v>120</v>
      </c>
      <c r="M58" s="59">
        <f>Table001__Page_2_3[[#This Row],[UNIT COST   ]]*Table001__Page_2_3[[#This Row],[ESTIMATED QUANTITY]]</f>
        <v>39000</v>
      </c>
      <c r="N58" s="14"/>
    </row>
    <row r="59" spans="1:14" x14ac:dyDescent="0.35">
      <c r="A59" s="16">
        <v>46</v>
      </c>
      <c r="B59" s="31" t="s">
        <v>1009</v>
      </c>
      <c r="C59" s="27" t="s">
        <v>1010</v>
      </c>
      <c r="D59" s="20" t="s">
        <v>949</v>
      </c>
      <c r="E59" s="16">
        <v>428</v>
      </c>
      <c r="F59" s="59">
        <v>175</v>
      </c>
      <c r="G59" s="59">
        <f>Table001__Page_2_3[[#This Row],[ESTIMATED QUANTITY]]*Table001__Page_2_3[[#This Row],[UNIT COST]]</f>
        <v>74900</v>
      </c>
      <c r="H59" s="59">
        <v>167</v>
      </c>
      <c r="I59" s="59">
        <f>Table001__Page_2_3[[#This Row],[UNIT COST ]]*Table001__Page_2_3[[#This Row],[ESTIMATED QUANTITY]]</f>
        <v>71476</v>
      </c>
      <c r="J59" s="59">
        <v>218</v>
      </c>
      <c r="K59" s="59">
        <f>Table001__Page_2_3[[#This Row],[UNIT COST  ]]*Table001__Page_2_3[[#This Row],[ESTIMATED QUANTITY]]</f>
        <v>93304</v>
      </c>
      <c r="L59" s="59">
        <v>150</v>
      </c>
      <c r="M59" s="59">
        <f>Table001__Page_2_3[[#This Row],[UNIT COST   ]]*Table001__Page_2_3[[#This Row],[ESTIMATED QUANTITY]]</f>
        <v>64200</v>
      </c>
      <c r="N59" s="14"/>
    </row>
    <row r="60" spans="1:14" x14ac:dyDescent="0.35">
      <c r="A60" s="16">
        <v>47</v>
      </c>
      <c r="B60" s="31" t="s">
        <v>1011</v>
      </c>
      <c r="C60" s="27" t="s">
        <v>1012</v>
      </c>
      <c r="D60" s="20" t="s">
        <v>949</v>
      </c>
      <c r="E60" s="16">
        <v>18</v>
      </c>
      <c r="F60" s="59">
        <v>315</v>
      </c>
      <c r="G60" s="59">
        <f>Table001__Page_2_3[[#This Row],[ESTIMATED QUANTITY]]*Table001__Page_2_3[[#This Row],[UNIT COST]]</f>
        <v>5670</v>
      </c>
      <c r="H60" s="59">
        <v>330</v>
      </c>
      <c r="I60" s="59">
        <f>Table001__Page_2_3[[#This Row],[UNIT COST ]]*Table001__Page_2_3[[#This Row],[ESTIMATED QUANTITY]]</f>
        <v>5940</v>
      </c>
      <c r="J60" s="59">
        <v>360</v>
      </c>
      <c r="K60" s="59">
        <f>Table001__Page_2_3[[#This Row],[UNIT COST  ]]*Table001__Page_2_3[[#This Row],[ESTIMATED QUANTITY]]</f>
        <v>6480</v>
      </c>
      <c r="L60" s="59">
        <v>300</v>
      </c>
      <c r="M60" s="59">
        <f>Table001__Page_2_3[[#This Row],[UNIT COST   ]]*Table001__Page_2_3[[#This Row],[ESTIMATED QUANTITY]]</f>
        <v>5400</v>
      </c>
      <c r="N60" s="14"/>
    </row>
    <row r="61" spans="1:14" x14ac:dyDescent="0.35">
      <c r="A61" s="16">
        <v>48</v>
      </c>
      <c r="B61" s="31" t="s">
        <v>1013</v>
      </c>
      <c r="C61" s="27" t="s">
        <v>1014</v>
      </c>
      <c r="D61" s="20" t="s">
        <v>428</v>
      </c>
      <c r="E61" s="16">
        <v>45</v>
      </c>
      <c r="F61" s="59">
        <v>150</v>
      </c>
      <c r="G61" s="59">
        <f>Table001__Page_2_3[[#This Row],[ESTIMATED QUANTITY]]*Table001__Page_2_3[[#This Row],[UNIT COST]]</f>
        <v>6750</v>
      </c>
      <c r="H61" s="59">
        <v>153</v>
      </c>
      <c r="I61" s="59">
        <f>Table001__Page_2_3[[#This Row],[UNIT COST ]]*Table001__Page_2_3[[#This Row],[ESTIMATED QUANTITY]]</f>
        <v>6885</v>
      </c>
      <c r="J61" s="59">
        <v>100</v>
      </c>
      <c r="K61" s="59">
        <f>Table001__Page_2_3[[#This Row],[UNIT COST  ]]*Table001__Page_2_3[[#This Row],[ESTIMATED QUANTITY]]</f>
        <v>4500</v>
      </c>
      <c r="L61" s="59">
        <v>120</v>
      </c>
      <c r="M61" s="59">
        <f>Table001__Page_2_3[[#This Row],[UNIT COST   ]]*Table001__Page_2_3[[#This Row],[ESTIMATED QUANTITY]]</f>
        <v>5400</v>
      </c>
      <c r="N61" s="14"/>
    </row>
    <row r="62" spans="1:14" x14ac:dyDescent="0.35">
      <c r="A62" s="16">
        <v>49</v>
      </c>
      <c r="B62" s="31" t="s">
        <v>563</v>
      </c>
      <c r="C62" s="27" t="s">
        <v>1015</v>
      </c>
      <c r="D62" s="20" t="s">
        <v>945</v>
      </c>
      <c r="E62" s="16">
        <v>1</v>
      </c>
      <c r="F62" s="59">
        <v>16000</v>
      </c>
      <c r="G62" s="59">
        <f>Table001__Page_2_3[[#This Row],[ESTIMATED QUANTITY]]*Table001__Page_2_3[[#This Row],[UNIT COST]]</f>
        <v>16000</v>
      </c>
      <c r="H62" s="59">
        <v>15300</v>
      </c>
      <c r="I62" s="59">
        <f>Table001__Page_2_3[[#This Row],[UNIT COST ]]*Table001__Page_2_3[[#This Row],[ESTIMATED QUANTITY]]</f>
        <v>15300</v>
      </c>
      <c r="J62" s="59">
        <v>17650</v>
      </c>
      <c r="K62" s="59">
        <f>Table001__Page_2_3[[#This Row],[UNIT COST  ]]*Table001__Page_2_3[[#This Row],[ESTIMATED QUANTITY]]</f>
        <v>17650</v>
      </c>
      <c r="L62" s="59">
        <v>17000</v>
      </c>
      <c r="M62" s="59">
        <f>Table001__Page_2_3[[#This Row],[UNIT COST   ]]*Table001__Page_2_3[[#This Row],[ESTIMATED QUANTITY]]</f>
        <v>17000</v>
      </c>
      <c r="N62" s="14"/>
    </row>
    <row r="63" spans="1:14" x14ac:dyDescent="0.35">
      <c r="A63" s="16">
        <v>50</v>
      </c>
      <c r="B63" s="31" t="s">
        <v>816</v>
      </c>
      <c r="C63" s="27" t="s">
        <v>1016</v>
      </c>
      <c r="D63" s="20" t="s">
        <v>945</v>
      </c>
      <c r="E63" s="16">
        <v>1</v>
      </c>
      <c r="F63" s="59">
        <v>16000</v>
      </c>
      <c r="G63" s="59">
        <f>Table001__Page_2_3[[#This Row],[ESTIMATED QUANTITY]]*Table001__Page_2_3[[#This Row],[UNIT COST]]</f>
        <v>16000</v>
      </c>
      <c r="H63" s="59">
        <v>15400</v>
      </c>
      <c r="I63" s="59">
        <f>Table001__Page_2_3[[#This Row],[UNIT COST ]]*Table001__Page_2_3[[#This Row],[ESTIMATED QUANTITY]]</f>
        <v>15400</v>
      </c>
      <c r="J63" s="59">
        <v>17650</v>
      </c>
      <c r="K63" s="59">
        <f>Table001__Page_2_3[[#This Row],[UNIT COST  ]]*Table001__Page_2_3[[#This Row],[ESTIMATED QUANTITY]]</f>
        <v>17650</v>
      </c>
      <c r="L63" s="59">
        <v>17000</v>
      </c>
      <c r="M63" s="59">
        <f>Table001__Page_2_3[[#This Row],[UNIT COST   ]]*Table001__Page_2_3[[#This Row],[ESTIMATED QUANTITY]]</f>
        <v>17000</v>
      </c>
      <c r="N63" s="14"/>
    </row>
    <row r="64" spans="1:14" ht="29" x14ac:dyDescent="0.35">
      <c r="A64" s="16">
        <v>51</v>
      </c>
      <c r="B64" s="31" t="s">
        <v>818</v>
      </c>
      <c r="C64" s="94" t="s">
        <v>1017</v>
      </c>
      <c r="D64" s="20" t="s">
        <v>945</v>
      </c>
      <c r="E64" s="16">
        <v>1</v>
      </c>
      <c r="F64" s="59">
        <v>19500</v>
      </c>
      <c r="G64" s="59">
        <f>Table001__Page_2_3[[#This Row],[ESTIMATED QUANTITY]]*Table001__Page_2_3[[#This Row],[UNIT COST]]</f>
        <v>19500</v>
      </c>
      <c r="H64" s="59">
        <v>25400</v>
      </c>
      <c r="I64" s="59">
        <f>Table001__Page_2_3[[#This Row],[UNIT COST ]]*Table001__Page_2_3[[#This Row],[ESTIMATED QUANTITY]]</f>
        <v>25400</v>
      </c>
      <c r="J64" s="59">
        <v>18100</v>
      </c>
      <c r="K64" s="59">
        <f>Table001__Page_2_3[[#This Row],[UNIT COST  ]]*Table001__Page_2_3[[#This Row],[ESTIMATED QUANTITY]]</f>
        <v>18100</v>
      </c>
      <c r="L64" s="59">
        <v>50000</v>
      </c>
      <c r="M64" s="59">
        <f>Table001__Page_2_3[[#This Row],[UNIT COST   ]]*Table001__Page_2_3[[#This Row],[ESTIMATED QUANTITY]]</f>
        <v>50000</v>
      </c>
      <c r="N64" s="14"/>
    </row>
    <row r="65" spans="1:14" x14ac:dyDescent="0.35">
      <c r="A65" s="16">
        <v>52</v>
      </c>
      <c r="B65" s="31" t="s">
        <v>1018</v>
      </c>
      <c r="C65" s="27" t="s">
        <v>1019</v>
      </c>
      <c r="D65" s="20" t="s">
        <v>945</v>
      </c>
      <c r="E65" s="16">
        <v>1</v>
      </c>
      <c r="F65" s="59">
        <v>16500</v>
      </c>
      <c r="G65" s="59">
        <f>Table001__Page_2_3[[#This Row],[ESTIMATED QUANTITY]]*Table001__Page_2_3[[#This Row],[UNIT COST]]</f>
        <v>16500</v>
      </c>
      <c r="H65" s="59">
        <v>16100</v>
      </c>
      <c r="I65" s="59">
        <f>Table001__Page_2_3[[#This Row],[UNIT COST ]]*Table001__Page_2_3[[#This Row],[ESTIMATED QUANTITY]]</f>
        <v>16100</v>
      </c>
      <c r="J65" s="59">
        <v>17650</v>
      </c>
      <c r="K65" s="59">
        <f>Table001__Page_2_3[[#This Row],[UNIT COST  ]]*Table001__Page_2_3[[#This Row],[ESTIMATED QUANTITY]]</f>
        <v>17650</v>
      </c>
      <c r="L65" s="59">
        <v>22000</v>
      </c>
      <c r="M65" s="59">
        <f>Table001__Page_2_3[[#This Row],[UNIT COST   ]]*Table001__Page_2_3[[#This Row],[ESTIMATED QUANTITY]]</f>
        <v>22000</v>
      </c>
      <c r="N65" s="14"/>
    </row>
    <row r="66" spans="1:14" x14ac:dyDescent="0.35">
      <c r="A66" s="16">
        <v>53</v>
      </c>
      <c r="B66" s="16" t="s">
        <v>1020</v>
      </c>
      <c r="C66" s="27" t="s">
        <v>1021</v>
      </c>
      <c r="D66" s="16" t="s">
        <v>945</v>
      </c>
      <c r="E66" s="16">
        <v>1</v>
      </c>
      <c r="F66" s="90">
        <v>18000</v>
      </c>
      <c r="G66" s="59">
        <f>Table001__Page_2_3[[#This Row],[ESTIMATED QUANTITY]]*Table001__Page_2_3[[#This Row],[UNIT COST]]</f>
        <v>18000</v>
      </c>
      <c r="H66" s="90">
        <v>26500</v>
      </c>
      <c r="I66" s="59">
        <f>Table001__Page_2_3[[#This Row],[UNIT COST ]]*Table001__Page_2_3[[#This Row],[ESTIMATED QUANTITY]]</f>
        <v>26500</v>
      </c>
      <c r="J66" s="59">
        <v>17650</v>
      </c>
      <c r="K66" s="59">
        <f>Table001__Page_2_3[[#This Row],[UNIT COST  ]]*Table001__Page_2_3[[#This Row],[ESTIMATED QUANTITY]]</f>
        <v>17650</v>
      </c>
      <c r="L66" s="59">
        <v>23000</v>
      </c>
      <c r="M66" s="59">
        <f>Table001__Page_2_3[[#This Row],[UNIT COST   ]]*Table001__Page_2_3[[#This Row],[ESTIMATED QUANTITY]]</f>
        <v>23000</v>
      </c>
      <c r="N66" s="14"/>
    </row>
    <row r="67" spans="1:14" x14ac:dyDescent="0.35">
      <c r="A67" s="16">
        <v>54</v>
      </c>
      <c r="B67" s="16" t="s">
        <v>1022</v>
      </c>
      <c r="C67" s="27" t="s">
        <v>1023</v>
      </c>
      <c r="D67" s="16" t="s">
        <v>945</v>
      </c>
      <c r="E67" s="16">
        <v>1</v>
      </c>
      <c r="F67" s="90">
        <v>18000</v>
      </c>
      <c r="G67" s="59">
        <f>Table001__Page_2_3[[#This Row],[ESTIMATED QUANTITY]]*Table001__Page_2_3[[#This Row],[UNIT COST]]</f>
        <v>18000</v>
      </c>
      <c r="H67" s="90">
        <v>26500</v>
      </c>
      <c r="I67" s="59">
        <f>Table001__Page_2_3[[#This Row],[UNIT COST ]]*Table001__Page_2_3[[#This Row],[ESTIMATED QUANTITY]]</f>
        <v>26500</v>
      </c>
      <c r="J67" s="59">
        <v>17650</v>
      </c>
      <c r="K67" s="59">
        <f>Table001__Page_2_3[[#This Row],[UNIT COST  ]]*Table001__Page_2_3[[#This Row],[ESTIMATED QUANTITY]]</f>
        <v>17650</v>
      </c>
      <c r="L67" s="59">
        <v>20000</v>
      </c>
      <c r="M67" s="59">
        <f>Table001__Page_2_3[[#This Row],[UNIT COST   ]]*Table001__Page_2_3[[#This Row],[ESTIMATED QUANTITY]]</f>
        <v>20000</v>
      </c>
      <c r="N67" s="14"/>
    </row>
    <row r="68" spans="1:14" x14ac:dyDescent="0.35">
      <c r="A68" s="16">
        <v>55</v>
      </c>
      <c r="B68" s="16" t="s">
        <v>1024</v>
      </c>
      <c r="C68" s="27" t="s">
        <v>1025</v>
      </c>
      <c r="D68" s="16" t="s">
        <v>945</v>
      </c>
      <c r="E68" s="16">
        <v>1</v>
      </c>
      <c r="F68" s="90">
        <v>27000</v>
      </c>
      <c r="G68" s="59">
        <f>Table001__Page_2_3[[#This Row],[ESTIMATED QUANTITY]]*Table001__Page_2_3[[#This Row],[UNIT COST]]</f>
        <v>27000</v>
      </c>
      <c r="H68" s="90">
        <v>25100</v>
      </c>
      <c r="I68" s="59">
        <f>Table001__Page_2_3[[#This Row],[UNIT COST ]]*Table001__Page_2_3[[#This Row],[ESTIMATED QUANTITY]]</f>
        <v>25100</v>
      </c>
      <c r="J68" s="59">
        <v>28000</v>
      </c>
      <c r="K68" s="59">
        <f>Table001__Page_2_3[[#This Row],[UNIT COST  ]]*Table001__Page_2_3[[#This Row],[ESTIMATED QUANTITY]]</f>
        <v>28000</v>
      </c>
      <c r="L68" s="59">
        <v>30000</v>
      </c>
      <c r="M68" s="59">
        <f>Table001__Page_2_3[[#This Row],[UNIT COST   ]]*Table001__Page_2_3[[#This Row],[ESTIMATED QUANTITY]]</f>
        <v>30000</v>
      </c>
      <c r="N68" s="14"/>
    </row>
    <row r="69" spans="1:14" x14ac:dyDescent="0.35">
      <c r="A69" s="16">
        <v>56</v>
      </c>
      <c r="B69" s="16" t="s">
        <v>1026</v>
      </c>
      <c r="C69" s="27" t="s">
        <v>1027</v>
      </c>
      <c r="D69" s="16" t="s">
        <v>945</v>
      </c>
      <c r="E69" s="16">
        <v>1</v>
      </c>
      <c r="F69" s="90">
        <v>8000</v>
      </c>
      <c r="G69" s="59">
        <f>Table001__Page_2_3[[#This Row],[ESTIMATED QUANTITY]]*Table001__Page_2_3[[#This Row],[UNIT COST]]</f>
        <v>8000</v>
      </c>
      <c r="H69" s="90">
        <v>10300</v>
      </c>
      <c r="I69" s="59">
        <f>Table001__Page_2_3[[#This Row],[UNIT COST ]]*Table001__Page_2_3[[#This Row],[ESTIMATED QUANTITY]]</f>
        <v>10300</v>
      </c>
      <c r="J69" s="59">
        <v>9000</v>
      </c>
      <c r="K69" s="59">
        <f>Table001__Page_2_3[[#This Row],[UNIT COST  ]]*Table001__Page_2_3[[#This Row],[ESTIMATED QUANTITY]]</f>
        <v>9000</v>
      </c>
      <c r="L69" s="59">
        <v>12000</v>
      </c>
      <c r="M69" s="59">
        <f>Table001__Page_2_3[[#This Row],[UNIT COST   ]]*Table001__Page_2_3[[#This Row],[ESTIMATED QUANTITY]]</f>
        <v>12000</v>
      </c>
      <c r="N69" s="14"/>
    </row>
    <row r="70" spans="1:14" x14ac:dyDescent="0.35">
      <c r="A70" s="16">
        <v>57</v>
      </c>
      <c r="B70" s="16" t="s">
        <v>1028</v>
      </c>
      <c r="C70" s="27" t="s">
        <v>1029</v>
      </c>
      <c r="D70" s="16" t="s">
        <v>945</v>
      </c>
      <c r="E70" s="16">
        <v>1</v>
      </c>
      <c r="F70" s="90">
        <v>8000</v>
      </c>
      <c r="G70" s="59">
        <f>Table001__Page_2_3[[#This Row],[ESTIMATED QUANTITY]]*Table001__Page_2_3[[#This Row],[UNIT COST]]</f>
        <v>8000</v>
      </c>
      <c r="H70" s="90">
        <v>10300</v>
      </c>
      <c r="I70" s="59">
        <f>Table001__Page_2_3[[#This Row],[UNIT COST ]]*Table001__Page_2_3[[#This Row],[ESTIMATED QUANTITY]]</f>
        <v>10300</v>
      </c>
      <c r="J70" s="59">
        <v>9000</v>
      </c>
      <c r="K70" s="59">
        <f>Table001__Page_2_3[[#This Row],[UNIT COST  ]]*Table001__Page_2_3[[#This Row],[ESTIMATED QUANTITY]]</f>
        <v>9000</v>
      </c>
      <c r="L70" s="59">
        <v>12000</v>
      </c>
      <c r="M70" s="59">
        <f>Table001__Page_2_3[[#This Row],[UNIT COST   ]]*Table001__Page_2_3[[#This Row],[ESTIMATED QUANTITY]]</f>
        <v>12000</v>
      </c>
      <c r="N70" s="14"/>
    </row>
    <row r="71" spans="1:14" x14ac:dyDescent="0.35">
      <c r="A71" s="16">
        <v>58</v>
      </c>
      <c r="B71" s="16" t="s">
        <v>1030</v>
      </c>
      <c r="C71" s="45" t="s">
        <v>1031</v>
      </c>
      <c r="D71" s="16" t="s">
        <v>945</v>
      </c>
      <c r="E71" s="16">
        <v>1</v>
      </c>
      <c r="F71" s="90">
        <v>42000</v>
      </c>
      <c r="G71" s="59">
        <f>Table001__Page_2_3[[#This Row],[ESTIMATED QUANTITY]]*Table001__Page_2_3[[#This Row],[UNIT COST]]</f>
        <v>42000</v>
      </c>
      <c r="H71" s="90">
        <v>37500</v>
      </c>
      <c r="I71" s="59">
        <f>Table001__Page_2_3[[#This Row],[UNIT COST ]]*Table001__Page_2_3[[#This Row],[ESTIMATED QUANTITY]]</f>
        <v>37500</v>
      </c>
      <c r="J71" s="59">
        <v>37150</v>
      </c>
      <c r="K71" s="59">
        <f>Table001__Page_2_3[[#This Row],[UNIT COST  ]]*Table001__Page_2_3[[#This Row],[ESTIMATED QUANTITY]]</f>
        <v>37150</v>
      </c>
      <c r="L71" s="59">
        <v>50000</v>
      </c>
      <c r="M71" s="59">
        <f>Table001__Page_2_3[[#This Row],[UNIT COST   ]]*Table001__Page_2_3[[#This Row],[ESTIMATED QUANTITY]]</f>
        <v>50000</v>
      </c>
      <c r="N71" s="14"/>
    </row>
    <row r="72" spans="1:14" x14ac:dyDescent="0.35">
      <c r="A72" s="16">
        <v>59</v>
      </c>
      <c r="B72" s="16" t="s">
        <v>1032</v>
      </c>
      <c r="C72" s="45" t="s">
        <v>1033</v>
      </c>
      <c r="D72" s="16" t="s">
        <v>945</v>
      </c>
      <c r="E72" s="16">
        <v>1</v>
      </c>
      <c r="F72" s="90">
        <v>18000</v>
      </c>
      <c r="G72" s="59">
        <f>Table001__Page_2_3[[#This Row],[ESTIMATED QUANTITY]]*Table001__Page_2_3[[#This Row],[UNIT COST]]</f>
        <v>18000</v>
      </c>
      <c r="H72" s="90">
        <v>16900</v>
      </c>
      <c r="I72" s="59">
        <f>Table001__Page_2_3[[#This Row],[UNIT COST ]]*Table001__Page_2_3[[#This Row],[ESTIMATED QUANTITY]]</f>
        <v>16900</v>
      </c>
      <c r="J72" s="59">
        <v>17650</v>
      </c>
      <c r="K72" s="59">
        <f>Table001__Page_2_3[[#This Row],[UNIT COST  ]]*Table001__Page_2_3[[#This Row],[ESTIMATED QUANTITY]]</f>
        <v>17650</v>
      </c>
      <c r="L72" s="59">
        <v>20000</v>
      </c>
      <c r="M72" s="59">
        <f>Table001__Page_2_3[[#This Row],[UNIT COST   ]]*Table001__Page_2_3[[#This Row],[ESTIMATED QUANTITY]]</f>
        <v>20000</v>
      </c>
      <c r="N72" s="14"/>
    </row>
    <row r="73" spans="1:14" x14ac:dyDescent="0.35">
      <c r="A73" s="16">
        <v>60</v>
      </c>
      <c r="B73" s="16" t="s">
        <v>1034</v>
      </c>
      <c r="C73" s="45" t="s">
        <v>1035</v>
      </c>
      <c r="D73" s="16" t="s">
        <v>945</v>
      </c>
      <c r="E73" s="16">
        <v>1</v>
      </c>
      <c r="F73" s="90">
        <v>27000</v>
      </c>
      <c r="G73" s="59">
        <f>Table001__Page_2_3[[#This Row],[ESTIMATED QUANTITY]]*Table001__Page_2_3[[#This Row],[UNIT COST]]</f>
        <v>27000</v>
      </c>
      <c r="H73" s="90">
        <v>23600</v>
      </c>
      <c r="I73" s="59">
        <f>Table001__Page_2_3[[#This Row],[UNIT COST ]]*Table001__Page_2_3[[#This Row],[ESTIMATED QUANTITY]]</f>
        <v>23600</v>
      </c>
      <c r="J73" s="59">
        <v>28000</v>
      </c>
      <c r="K73" s="59">
        <f>Table001__Page_2_3[[#This Row],[UNIT COST  ]]*Table001__Page_2_3[[#This Row],[ESTIMATED QUANTITY]]</f>
        <v>28000</v>
      </c>
      <c r="L73" s="59">
        <v>32000</v>
      </c>
      <c r="M73" s="59">
        <f>Table001__Page_2_3[[#This Row],[UNIT COST   ]]*Table001__Page_2_3[[#This Row],[ESTIMATED QUANTITY]]</f>
        <v>32000</v>
      </c>
      <c r="N73" s="14"/>
    </row>
    <row r="74" spans="1:14" x14ac:dyDescent="0.35">
      <c r="A74" s="16">
        <v>61</v>
      </c>
      <c r="B74" s="16" t="s">
        <v>1036</v>
      </c>
      <c r="C74" s="45" t="s">
        <v>1037</v>
      </c>
      <c r="D74" s="16" t="s">
        <v>945</v>
      </c>
      <c r="E74" s="16">
        <v>1</v>
      </c>
      <c r="F74" s="90">
        <v>30000</v>
      </c>
      <c r="G74" s="59">
        <f>Table001__Page_2_3[[#This Row],[ESTIMATED QUANTITY]]*Table001__Page_2_3[[#This Row],[UNIT COST]]</f>
        <v>30000</v>
      </c>
      <c r="H74" s="90">
        <v>34200</v>
      </c>
      <c r="I74" s="59">
        <f>Table001__Page_2_3[[#This Row],[UNIT COST ]]*Table001__Page_2_3[[#This Row],[ESTIMATED QUANTITY]]</f>
        <v>34200</v>
      </c>
      <c r="J74" s="59">
        <v>30150</v>
      </c>
      <c r="K74" s="59">
        <f>Table001__Page_2_3[[#This Row],[UNIT COST  ]]*Table001__Page_2_3[[#This Row],[ESTIMATED QUANTITY]]</f>
        <v>30150</v>
      </c>
      <c r="L74" s="59">
        <v>50000</v>
      </c>
      <c r="M74" s="59">
        <f>Table001__Page_2_3[[#This Row],[UNIT COST   ]]*Table001__Page_2_3[[#This Row],[ESTIMATED QUANTITY]]</f>
        <v>50000</v>
      </c>
      <c r="N74" s="14"/>
    </row>
    <row r="75" spans="1:14" x14ac:dyDescent="0.35">
      <c r="A75" s="16">
        <v>62</v>
      </c>
      <c r="B75" s="16" t="s">
        <v>1038</v>
      </c>
      <c r="C75" s="45" t="s">
        <v>1039</v>
      </c>
      <c r="D75" s="16" t="s">
        <v>945</v>
      </c>
      <c r="E75" s="16">
        <v>1</v>
      </c>
      <c r="F75" s="90">
        <v>8000</v>
      </c>
      <c r="G75" s="59">
        <f>Table001__Page_2_3[[#This Row],[ESTIMATED QUANTITY]]*Table001__Page_2_3[[#This Row],[UNIT COST]]</f>
        <v>8000</v>
      </c>
      <c r="H75" s="90">
        <v>27000</v>
      </c>
      <c r="I75" s="59">
        <f>Table001__Page_2_3[[#This Row],[UNIT COST ]]*Table001__Page_2_3[[#This Row],[ESTIMATED QUANTITY]]</f>
        <v>27000</v>
      </c>
      <c r="J75" s="59">
        <v>9000</v>
      </c>
      <c r="K75" s="59">
        <f>Table001__Page_2_3[[#This Row],[UNIT COST  ]]*Table001__Page_2_3[[#This Row],[ESTIMATED QUANTITY]]</f>
        <v>9000</v>
      </c>
      <c r="L75" s="59">
        <v>12000</v>
      </c>
      <c r="M75" s="59">
        <f>Table001__Page_2_3[[#This Row],[UNIT COST   ]]*Table001__Page_2_3[[#This Row],[ESTIMATED QUANTITY]]</f>
        <v>12000</v>
      </c>
      <c r="N75" s="14"/>
    </row>
    <row r="76" spans="1:14" x14ac:dyDescent="0.35">
      <c r="A76" s="16">
        <v>63</v>
      </c>
      <c r="B76" s="16" t="s">
        <v>1040</v>
      </c>
      <c r="C76" s="45" t="s">
        <v>1041</v>
      </c>
      <c r="D76" s="16" t="s">
        <v>945</v>
      </c>
      <c r="E76" s="16">
        <v>1</v>
      </c>
      <c r="F76" s="90">
        <v>16000</v>
      </c>
      <c r="G76" s="59">
        <f>Table001__Page_2_3[[#This Row],[ESTIMATED QUANTITY]]*Table001__Page_2_3[[#This Row],[UNIT COST]]</f>
        <v>16000</v>
      </c>
      <c r="H76" s="90">
        <v>10300</v>
      </c>
      <c r="I76" s="59">
        <f>Table001__Page_2_3[[#This Row],[UNIT COST ]]*Table001__Page_2_3[[#This Row],[ESTIMATED QUANTITY]]</f>
        <v>10300</v>
      </c>
      <c r="J76" s="59">
        <v>17650</v>
      </c>
      <c r="K76" s="59">
        <f>Table001__Page_2_3[[#This Row],[UNIT COST  ]]*Table001__Page_2_3[[#This Row],[ESTIMATED QUANTITY]]</f>
        <v>17650</v>
      </c>
      <c r="L76" s="59">
        <v>20000</v>
      </c>
      <c r="M76" s="59">
        <f>Table001__Page_2_3[[#This Row],[UNIT COST   ]]*Table001__Page_2_3[[#This Row],[ESTIMATED QUANTITY]]</f>
        <v>20000</v>
      </c>
      <c r="N76" s="14"/>
    </row>
    <row r="77" spans="1:14" x14ac:dyDescent="0.35">
      <c r="A77" s="16">
        <v>64</v>
      </c>
      <c r="B77" s="16" t="s">
        <v>1042</v>
      </c>
      <c r="C77" s="45" t="s">
        <v>1043</v>
      </c>
      <c r="D77" s="16" t="s">
        <v>945</v>
      </c>
      <c r="E77" s="16">
        <v>1</v>
      </c>
      <c r="F77" s="90">
        <v>12000</v>
      </c>
      <c r="G77" s="59">
        <f>Table001__Page_2_3[[#This Row],[ESTIMATED QUANTITY]]*Table001__Page_2_3[[#This Row],[UNIT COST]]</f>
        <v>12000</v>
      </c>
      <c r="H77" s="90">
        <v>14800</v>
      </c>
      <c r="I77" s="59">
        <f>Table001__Page_2_3[[#This Row],[UNIT COST ]]*Table001__Page_2_3[[#This Row],[ESTIMATED QUANTITY]]</f>
        <v>14800</v>
      </c>
      <c r="J77" s="59">
        <v>10000</v>
      </c>
      <c r="K77" s="59">
        <f>Table001__Page_2_3[[#This Row],[UNIT COST  ]]*Table001__Page_2_3[[#This Row],[ESTIMATED QUANTITY]]</f>
        <v>10000</v>
      </c>
      <c r="L77" s="59">
        <v>12000</v>
      </c>
      <c r="M77" s="59">
        <f>Table001__Page_2_3[[#This Row],[UNIT COST   ]]*Table001__Page_2_3[[#This Row],[ESTIMATED QUANTITY]]</f>
        <v>12000</v>
      </c>
      <c r="N77" s="14"/>
    </row>
    <row r="78" spans="1:14" x14ac:dyDescent="0.35">
      <c r="A78" s="16">
        <v>65</v>
      </c>
      <c r="B78" s="16" t="s">
        <v>1044</v>
      </c>
      <c r="C78" s="45" t="s">
        <v>1045</v>
      </c>
      <c r="D78" s="16" t="s">
        <v>945</v>
      </c>
      <c r="E78" s="16">
        <v>1</v>
      </c>
      <c r="F78" s="90">
        <v>16000</v>
      </c>
      <c r="G78" s="59">
        <f>Table001__Page_2_3[[#This Row],[ESTIMATED QUANTITY]]*Table001__Page_2_3[[#This Row],[UNIT COST]]</f>
        <v>16000</v>
      </c>
      <c r="H78" s="90">
        <v>10300</v>
      </c>
      <c r="I78" s="59">
        <f>Table001__Page_2_3[[#This Row],[UNIT COST ]]*Table001__Page_2_3[[#This Row],[ESTIMATED QUANTITY]]</f>
        <v>10300</v>
      </c>
      <c r="J78" s="59">
        <v>17650</v>
      </c>
      <c r="K78" s="59">
        <f>Table001__Page_2_3[[#This Row],[UNIT COST  ]]*Table001__Page_2_3[[#This Row],[ESTIMATED QUANTITY]]</f>
        <v>17650</v>
      </c>
      <c r="L78" s="59">
        <v>20000</v>
      </c>
      <c r="M78" s="59">
        <f>Table001__Page_2_3[[#This Row],[UNIT COST   ]]*Table001__Page_2_3[[#This Row],[ESTIMATED QUANTITY]]</f>
        <v>20000</v>
      </c>
      <c r="N78" s="14"/>
    </row>
    <row r="79" spans="1:14" x14ac:dyDescent="0.35">
      <c r="A79" s="16">
        <v>66</v>
      </c>
      <c r="B79" s="16" t="s">
        <v>1046</v>
      </c>
      <c r="C79" s="45" t="s">
        <v>1047</v>
      </c>
      <c r="D79" s="16" t="s">
        <v>945</v>
      </c>
      <c r="E79" s="16">
        <v>1</v>
      </c>
      <c r="F79" s="90">
        <v>25000</v>
      </c>
      <c r="G79" s="59">
        <f>Table001__Page_2_3[[#This Row],[ESTIMATED QUANTITY]]*Table001__Page_2_3[[#This Row],[UNIT COST]]</f>
        <v>25000</v>
      </c>
      <c r="H79" s="90">
        <v>15100</v>
      </c>
      <c r="I79" s="59">
        <f>Table001__Page_2_3[[#This Row],[UNIT COST ]]*Table001__Page_2_3[[#This Row],[ESTIMATED QUANTITY]]</f>
        <v>15100</v>
      </c>
      <c r="J79" s="59">
        <v>26000</v>
      </c>
      <c r="K79" s="59">
        <f>Table001__Page_2_3[[#This Row],[UNIT COST  ]]*Table001__Page_2_3[[#This Row],[ESTIMATED QUANTITY]]</f>
        <v>26000</v>
      </c>
      <c r="L79" s="59">
        <v>30000</v>
      </c>
      <c r="M79" s="59">
        <f>Table001__Page_2_3[[#This Row],[UNIT COST   ]]*Table001__Page_2_3[[#This Row],[ESTIMATED QUANTITY]]</f>
        <v>30000</v>
      </c>
      <c r="N79" s="14"/>
    </row>
    <row r="80" spans="1:14" ht="29" x14ac:dyDescent="0.35">
      <c r="A80" s="16">
        <v>67</v>
      </c>
      <c r="B80" s="16" t="s">
        <v>1048</v>
      </c>
      <c r="C80" s="93" t="s">
        <v>1049</v>
      </c>
      <c r="D80" s="16" t="s">
        <v>945</v>
      </c>
      <c r="E80" s="16">
        <v>1</v>
      </c>
      <c r="F80" s="90">
        <v>10000</v>
      </c>
      <c r="G80" s="59">
        <f>Table001__Page_2_3[[#This Row],[ESTIMATED QUANTITY]]*Table001__Page_2_3[[#This Row],[UNIT COST]]</f>
        <v>10000</v>
      </c>
      <c r="H80" s="90">
        <v>24700</v>
      </c>
      <c r="I80" s="59">
        <f>Table001__Page_2_3[[#This Row],[UNIT COST ]]*Table001__Page_2_3[[#This Row],[ESTIMATED QUANTITY]]</f>
        <v>24700</v>
      </c>
      <c r="J80" s="59">
        <v>14300</v>
      </c>
      <c r="K80" s="59">
        <f>Table001__Page_2_3[[#This Row],[UNIT COST  ]]*Table001__Page_2_3[[#This Row],[ESTIMATED QUANTITY]]</f>
        <v>14300</v>
      </c>
      <c r="L80" s="59">
        <v>17000</v>
      </c>
      <c r="M80" s="59">
        <f>Table001__Page_2_3[[#This Row],[UNIT COST   ]]*Table001__Page_2_3[[#This Row],[ESTIMATED QUANTITY]]</f>
        <v>17000</v>
      </c>
      <c r="N80" s="14"/>
    </row>
    <row r="81" spans="1:14" x14ac:dyDescent="0.35">
      <c r="A81" s="16">
        <v>68</v>
      </c>
      <c r="B81" s="16" t="s">
        <v>1050</v>
      </c>
      <c r="C81" s="45" t="s">
        <v>1051</v>
      </c>
      <c r="D81" s="16" t="s">
        <v>945</v>
      </c>
      <c r="E81" s="16">
        <v>1</v>
      </c>
      <c r="F81" s="90">
        <v>8000</v>
      </c>
      <c r="G81" s="59">
        <f>Table001__Page_2_3[[#This Row],[ESTIMATED QUANTITY]]*Table001__Page_2_3[[#This Row],[UNIT COST]]</f>
        <v>8000</v>
      </c>
      <c r="H81" s="90">
        <v>15000</v>
      </c>
      <c r="I81" s="59">
        <f>Table001__Page_2_3[[#This Row],[UNIT COST ]]*Table001__Page_2_3[[#This Row],[ESTIMATED QUANTITY]]</f>
        <v>15000</v>
      </c>
      <c r="J81" s="59">
        <v>9000</v>
      </c>
      <c r="K81" s="59">
        <f>Table001__Page_2_3[[#This Row],[UNIT COST  ]]*Table001__Page_2_3[[#This Row],[ESTIMATED QUANTITY]]</f>
        <v>9000</v>
      </c>
      <c r="L81" s="59">
        <v>12000</v>
      </c>
      <c r="M81" s="59">
        <f>Table001__Page_2_3[[#This Row],[UNIT COST   ]]*Table001__Page_2_3[[#This Row],[ESTIMATED QUANTITY]]</f>
        <v>12000</v>
      </c>
      <c r="N81" s="14"/>
    </row>
    <row r="82" spans="1:14" x14ac:dyDescent="0.35">
      <c r="A82" s="16">
        <v>69</v>
      </c>
      <c r="B82" s="16" t="s">
        <v>1052</v>
      </c>
      <c r="C82" s="45" t="s">
        <v>1053</v>
      </c>
      <c r="D82" s="16" t="s">
        <v>945</v>
      </c>
      <c r="E82" s="16">
        <v>1</v>
      </c>
      <c r="F82" s="90">
        <v>8000</v>
      </c>
      <c r="G82" s="59">
        <f>Table001__Page_2_3[[#This Row],[ESTIMATED QUANTITY]]*Table001__Page_2_3[[#This Row],[UNIT COST]]</f>
        <v>8000</v>
      </c>
      <c r="H82" s="90">
        <v>25700</v>
      </c>
      <c r="I82" s="59">
        <f>Table001__Page_2_3[[#This Row],[UNIT COST ]]*Table001__Page_2_3[[#This Row],[ESTIMATED QUANTITY]]</f>
        <v>25700</v>
      </c>
      <c r="J82" s="59">
        <v>20250</v>
      </c>
      <c r="K82" s="59">
        <f>Table001__Page_2_3[[#This Row],[UNIT COST  ]]*Table001__Page_2_3[[#This Row],[ESTIMATED QUANTITY]]</f>
        <v>20250</v>
      </c>
      <c r="L82" s="59">
        <v>12000</v>
      </c>
      <c r="M82" s="59">
        <f>Table001__Page_2_3[[#This Row],[UNIT COST   ]]*Table001__Page_2_3[[#This Row],[ESTIMATED QUANTITY]]</f>
        <v>12000</v>
      </c>
      <c r="N82" s="14"/>
    </row>
    <row r="83" spans="1:14" x14ac:dyDescent="0.35">
      <c r="A83" s="16">
        <v>70</v>
      </c>
      <c r="B83" s="16" t="s">
        <v>555</v>
      </c>
      <c r="C83" s="45" t="s">
        <v>1054</v>
      </c>
      <c r="D83" s="16" t="s">
        <v>945</v>
      </c>
      <c r="E83" s="16">
        <v>4</v>
      </c>
      <c r="F83" s="90">
        <v>1400</v>
      </c>
      <c r="G83" s="59">
        <f>Table001__Page_2_3[[#This Row],[ESTIMATED QUANTITY]]*Table001__Page_2_3[[#This Row],[UNIT COST]]</f>
        <v>5600</v>
      </c>
      <c r="H83" s="90">
        <v>2130</v>
      </c>
      <c r="I83" s="59">
        <f>Table001__Page_2_3[[#This Row],[UNIT COST ]]*Table001__Page_2_3[[#This Row],[ESTIMATED QUANTITY]]</f>
        <v>8520</v>
      </c>
      <c r="J83" s="59">
        <v>2100</v>
      </c>
      <c r="K83" s="59">
        <f>Table001__Page_2_3[[#This Row],[UNIT COST  ]]*Table001__Page_2_3[[#This Row],[ESTIMATED QUANTITY]]</f>
        <v>8400</v>
      </c>
      <c r="L83" s="59">
        <v>1500</v>
      </c>
      <c r="M83" s="59">
        <f>Table001__Page_2_3[[#This Row],[UNIT COST   ]]*Table001__Page_2_3[[#This Row],[ESTIMATED QUANTITY]]</f>
        <v>6000</v>
      </c>
      <c r="N83" s="14"/>
    </row>
    <row r="84" spans="1:14" x14ac:dyDescent="0.35">
      <c r="A84" s="16">
        <v>71</v>
      </c>
      <c r="B84" s="16" t="s">
        <v>559</v>
      </c>
      <c r="C84" s="27" t="s">
        <v>1055</v>
      </c>
      <c r="D84" s="16" t="s">
        <v>945</v>
      </c>
      <c r="E84" s="16">
        <v>1</v>
      </c>
      <c r="F84" s="90">
        <v>2650</v>
      </c>
      <c r="G84" s="59">
        <f>Table001__Page_2_3[[#This Row],[ESTIMATED QUANTITY]]*Table001__Page_2_3[[#This Row],[UNIT COST]]</f>
        <v>2650</v>
      </c>
      <c r="H84" s="90">
        <v>5880</v>
      </c>
      <c r="I84" s="59">
        <f>Table001__Page_2_3[[#This Row],[UNIT COST ]]*Table001__Page_2_3[[#This Row],[ESTIMATED QUANTITY]]</f>
        <v>5880</v>
      </c>
      <c r="J84" s="59">
        <v>3350</v>
      </c>
      <c r="K84" s="59">
        <f>Table001__Page_2_3[[#This Row],[UNIT COST  ]]*Table001__Page_2_3[[#This Row],[ESTIMATED QUANTITY]]</f>
        <v>3350</v>
      </c>
      <c r="L84" s="59">
        <v>3500</v>
      </c>
      <c r="M84" s="59">
        <f>Table001__Page_2_3[[#This Row],[UNIT COST   ]]*Table001__Page_2_3[[#This Row],[ESTIMATED QUANTITY]]</f>
        <v>3500</v>
      </c>
      <c r="N84" s="14"/>
    </row>
    <row r="85" spans="1:14" x14ac:dyDescent="0.35">
      <c r="A85" s="16">
        <v>72</v>
      </c>
      <c r="B85" s="16" t="s">
        <v>1056</v>
      </c>
      <c r="C85" s="45" t="s">
        <v>1057</v>
      </c>
      <c r="D85" s="16" t="s">
        <v>952</v>
      </c>
      <c r="E85" s="16">
        <v>110</v>
      </c>
      <c r="F85" s="90">
        <v>225</v>
      </c>
      <c r="G85" s="59">
        <f>Table001__Page_2_3[[#This Row],[ESTIMATED QUANTITY]]*Table001__Page_2_3[[#This Row],[UNIT COST]]</f>
        <v>24750</v>
      </c>
      <c r="H85" s="90">
        <v>341</v>
      </c>
      <c r="I85" s="59">
        <f>Table001__Page_2_3[[#This Row],[UNIT COST ]]*Table001__Page_2_3[[#This Row],[ESTIMATED QUANTITY]]</f>
        <v>37510</v>
      </c>
      <c r="J85" s="59">
        <v>270</v>
      </c>
      <c r="K85" s="59">
        <f>Table001__Page_2_3[[#This Row],[UNIT COST  ]]*Table001__Page_2_3[[#This Row],[ESTIMATED QUANTITY]]</f>
        <v>29700</v>
      </c>
      <c r="L85" s="59">
        <v>150</v>
      </c>
      <c r="M85" s="59">
        <f>Table001__Page_2_3[[#This Row],[UNIT COST   ]]*Table001__Page_2_3[[#This Row],[ESTIMATED QUANTITY]]</f>
        <v>16500</v>
      </c>
      <c r="N85" s="14"/>
    </row>
    <row r="86" spans="1:14" x14ac:dyDescent="0.35">
      <c r="A86" s="16">
        <v>73</v>
      </c>
      <c r="B86" s="16" t="s">
        <v>504</v>
      </c>
      <c r="C86" s="45" t="s">
        <v>1058</v>
      </c>
      <c r="D86" s="16" t="s">
        <v>548</v>
      </c>
      <c r="E86" s="16">
        <v>74</v>
      </c>
      <c r="F86" s="90">
        <v>4500</v>
      </c>
      <c r="G86" s="59">
        <f>Table001__Page_2_3[[#This Row],[ESTIMATED QUANTITY]]*Table001__Page_2_3[[#This Row],[UNIT COST]]</f>
        <v>333000</v>
      </c>
      <c r="H86" s="90">
        <v>3650</v>
      </c>
      <c r="I86" s="59">
        <f>Table001__Page_2_3[[#This Row],[UNIT COST ]]*Table001__Page_2_3[[#This Row],[ESTIMATED QUANTITY]]</f>
        <v>270100</v>
      </c>
      <c r="J86" s="59">
        <v>5000</v>
      </c>
      <c r="K86" s="59">
        <f>Table001__Page_2_3[[#This Row],[UNIT COST  ]]*Table001__Page_2_3[[#This Row],[ESTIMATED QUANTITY]]</f>
        <v>370000</v>
      </c>
      <c r="L86" s="59">
        <v>4000</v>
      </c>
      <c r="M86" s="59">
        <f>Table001__Page_2_3[[#This Row],[UNIT COST   ]]*Table001__Page_2_3[[#This Row],[ESTIMATED QUANTITY]]</f>
        <v>296000</v>
      </c>
      <c r="N86" s="14"/>
    </row>
    <row r="87" spans="1:14" x14ac:dyDescent="0.35">
      <c r="A87" s="16">
        <v>74</v>
      </c>
      <c r="B87" s="16" t="s">
        <v>549</v>
      </c>
      <c r="C87" s="45" t="s">
        <v>1059</v>
      </c>
      <c r="D87" s="16" t="s">
        <v>952</v>
      </c>
      <c r="E87" s="16">
        <v>28000</v>
      </c>
      <c r="F87" s="90">
        <v>7.5</v>
      </c>
      <c r="G87" s="59">
        <f>Table001__Page_2_3[[#This Row],[ESTIMATED QUANTITY]]*Table001__Page_2_3[[#This Row],[UNIT COST]]</f>
        <v>210000</v>
      </c>
      <c r="H87" s="90">
        <v>6.75</v>
      </c>
      <c r="I87" s="59">
        <f>Table001__Page_2_3[[#This Row],[UNIT COST ]]*Table001__Page_2_3[[#This Row],[ESTIMATED QUANTITY]]</f>
        <v>189000</v>
      </c>
      <c r="J87" s="59">
        <v>9.3000000000000007</v>
      </c>
      <c r="K87" s="59">
        <f>Table001__Page_2_3[[#This Row],[UNIT COST  ]]*Table001__Page_2_3[[#This Row],[ESTIMATED QUANTITY]]</f>
        <v>260400.00000000003</v>
      </c>
      <c r="L87" s="59">
        <v>7</v>
      </c>
      <c r="M87" s="59">
        <f>Table001__Page_2_3[[#This Row],[UNIT COST   ]]*Table001__Page_2_3[[#This Row],[ESTIMATED QUANTITY]]</f>
        <v>196000</v>
      </c>
      <c r="N87" s="14"/>
    </row>
    <row r="88" spans="1:14" x14ac:dyDescent="0.35">
      <c r="A88" s="16">
        <v>75</v>
      </c>
      <c r="B88" s="16" t="s">
        <v>1060</v>
      </c>
      <c r="C88" s="45" t="s">
        <v>1061</v>
      </c>
      <c r="D88" s="16" t="s">
        <v>952</v>
      </c>
      <c r="E88" s="16">
        <v>1150</v>
      </c>
      <c r="F88" s="90">
        <v>15</v>
      </c>
      <c r="G88" s="59">
        <f>Table001__Page_2_3[[#This Row],[ESTIMATED QUANTITY]]*Table001__Page_2_3[[#This Row],[UNIT COST]]</f>
        <v>17250</v>
      </c>
      <c r="H88" s="90">
        <v>7.3</v>
      </c>
      <c r="I88" s="59">
        <f>Table001__Page_2_3[[#This Row],[UNIT COST ]]*Table001__Page_2_3[[#This Row],[ESTIMATED QUANTITY]]</f>
        <v>8395</v>
      </c>
      <c r="J88" s="59">
        <v>10</v>
      </c>
      <c r="K88" s="59">
        <f>Table001__Page_2_3[[#This Row],[UNIT COST  ]]*Table001__Page_2_3[[#This Row],[ESTIMATED QUANTITY]]</f>
        <v>11500</v>
      </c>
      <c r="L88" s="59">
        <v>8</v>
      </c>
      <c r="M88" s="59">
        <f>Table001__Page_2_3[[#This Row],[UNIT COST   ]]*Table001__Page_2_3[[#This Row],[ESTIMATED QUANTITY]]</f>
        <v>9200</v>
      </c>
      <c r="N88" s="14"/>
    </row>
    <row r="89" spans="1:14" x14ac:dyDescent="0.35">
      <c r="A89" s="16">
        <v>76</v>
      </c>
      <c r="B89" s="16" t="s">
        <v>551</v>
      </c>
      <c r="C89" s="45" t="s">
        <v>1062</v>
      </c>
      <c r="D89" s="16" t="s">
        <v>980</v>
      </c>
      <c r="E89" s="16">
        <v>40500</v>
      </c>
      <c r="F89" s="90">
        <v>17.5</v>
      </c>
      <c r="G89" s="59">
        <f>Table001__Page_2_3[[#This Row],[ESTIMATED QUANTITY]]*Table001__Page_2_3[[#This Row],[UNIT COST]]</f>
        <v>708750</v>
      </c>
      <c r="H89" s="90">
        <v>15.3</v>
      </c>
      <c r="I89" s="59">
        <f>Table001__Page_2_3[[#This Row],[UNIT COST ]]*Table001__Page_2_3[[#This Row],[ESTIMATED QUANTITY]]</f>
        <v>619650</v>
      </c>
      <c r="J89" s="59">
        <v>12.6</v>
      </c>
      <c r="K89" s="59">
        <f>Table001__Page_2_3[[#This Row],[UNIT COST  ]]*Table001__Page_2_3[[#This Row],[ESTIMATED QUANTITY]]</f>
        <v>510300</v>
      </c>
      <c r="L89" s="59">
        <v>5</v>
      </c>
      <c r="M89" s="59">
        <f>Table001__Page_2_3[[#This Row],[UNIT COST   ]]*Table001__Page_2_3[[#This Row],[ESTIMATED QUANTITY]]</f>
        <v>202500</v>
      </c>
      <c r="N89" s="14"/>
    </row>
    <row r="90" spans="1:14" x14ac:dyDescent="0.35">
      <c r="A90" s="16">
        <v>77</v>
      </c>
      <c r="B90" s="16" t="s">
        <v>1063</v>
      </c>
      <c r="C90" s="45" t="s">
        <v>1064</v>
      </c>
      <c r="D90" s="16" t="s">
        <v>980</v>
      </c>
      <c r="E90" s="16">
        <v>3200</v>
      </c>
      <c r="F90" s="90">
        <v>50</v>
      </c>
      <c r="G90" s="59">
        <f>Table001__Page_2_3[[#This Row],[ESTIMATED QUANTITY]]*Table001__Page_2_3[[#This Row],[UNIT COST]]</f>
        <v>160000</v>
      </c>
      <c r="H90" s="90">
        <v>42.8</v>
      </c>
      <c r="I90" s="59">
        <f>Table001__Page_2_3[[#This Row],[UNIT COST ]]*Table001__Page_2_3[[#This Row],[ESTIMATED QUANTITY]]</f>
        <v>136960</v>
      </c>
      <c r="J90" s="59">
        <v>38</v>
      </c>
      <c r="K90" s="59">
        <f>Table001__Page_2_3[[#This Row],[UNIT COST  ]]*Table001__Page_2_3[[#This Row],[ESTIMATED QUANTITY]]</f>
        <v>121600</v>
      </c>
      <c r="L90" s="59">
        <v>19</v>
      </c>
      <c r="M90" s="59">
        <f>Table001__Page_2_3[[#This Row],[UNIT COST   ]]*Table001__Page_2_3[[#This Row],[ESTIMATED QUANTITY]]</f>
        <v>60800</v>
      </c>
      <c r="N90" s="14"/>
    </row>
    <row r="91" spans="1:14" x14ac:dyDescent="0.35">
      <c r="A91" s="16">
        <v>78</v>
      </c>
      <c r="B91" s="16" t="s">
        <v>1065</v>
      </c>
      <c r="C91" s="27" t="s">
        <v>1066</v>
      </c>
      <c r="D91" s="16" t="s">
        <v>942</v>
      </c>
      <c r="E91" s="16">
        <v>1</v>
      </c>
      <c r="F91" s="59">
        <v>85000</v>
      </c>
      <c r="G91" s="59">
        <f>Table001__Page_2_3[[#This Row],[ESTIMATED QUANTITY]]*Table001__Page_2_3[[#This Row],[UNIT COST]]</f>
        <v>85000</v>
      </c>
      <c r="H91" s="59">
        <v>47300</v>
      </c>
      <c r="I91" s="59">
        <f>Table001__Page_2_3[[#This Row],[UNIT COST ]]*Table001__Page_2_3[[#This Row],[ESTIMATED QUANTITY]]</f>
        <v>47300</v>
      </c>
      <c r="J91" s="59">
        <v>76000</v>
      </c>
      <c r="K91" s="59">
        <f>Table001__Page_2_3[[#This Row],[UNIT COST  ]]*Table001__Page_2_3[[#This Row],[ESTIMATED QUANTITY]]</f>
        <v>76000</v>
      </c>
      <c r="L91" s="59">
        <v>58000</v>
      </c>
      <c r="M91" s="59">
        <f>Table001__Page_2_3[[#This Row],[UNIT COST   ]]*Table001__Page_2_3[[#This Row],[ESTIMATED QUANTITY]]</f>
        <v>58000</v>
      </c>
      <c r="N91" s="14"/>
    </row>
    <row r="92" spans="1:14" x14ac:dyDescent="0.35">
      <c r="A92" s="16">
        <v>79</v>
      </c>
      <c r="B92" s="16" t="s">
        <v>1065</v>
      </c>
      <c r="C92" s="45" t="s">
        <v>1067</v>
      </c>
      <c r="D92" s="16" t="s">
        <v>942</v>
      </c>
      <c r="E92" s="16">
        <v>1</v>
      </c>
      <c r="F92" s="59">
        <v>50000</v>
      </c>
      <c r="G92" s="59">
        <f>Table001__Page_2_3[[#This Row],[ESTIMATED QUANTITY]]*Table001__Page_2_3[[#This Row],[UNIT COST]]</f>
        <v>50000</v>
      </c>
      <c r="H92" s="59">
        <v>39100</v>
      </c>
      <c r="I92" s="59">
        <f>Table001__Page_2_3[[#This Row],[UNIT COST ]]*Table001__Page_2_3[[#This Row],[ESTIMATED QUANTITY]]</f>
        <v>39100</v>
      </c>
      <c r="J92" s="59">
        <v>47000</v>
      </c>
      <c r="K92" s="59">
        <f>Table001__Page_2_3[[#This Row],[UNIT COST  ]]*Table001__Page_2_3[[#This Row],[ESTIMATED QUANTITY]]</f>
        <v>47000</v>
      </c>
      <c r="L92" s="59">
        <v>95000</v>
      </c>
      <c r="M92" s="59">
        <f>Table001__Page_2_3[[#This Row],[UNIT COST   ]]*Table001__Page_2_3[[#This Row],[ESTIMATED QUANTITY]]</f>
        <v>95000</v>
      </c>
      <c r="N92" s="14"/>
    </row>
    <row r="93" spans="1:14" x14ac:dyDescent="0.35">
      <c r="A93" s="16">
        <v>80</v>
      </c>
      <c r="B93" s="16" t="s">
        <v>1068</v>
      </c>
      <c r="C93" s="45" t="s">
        <v>1069</v>
      </c>
      <c r="D93" s="16" t="s">
        <v>942</v>
      </c>
      <c r="E93" s="16">
        <v>1</v>
      </c>
      <c r="F93" s="59">
        <v>30000</v>
      </c>
      <c r="G93" s="59">
        <f>Table001__Page_2_3[[#This Row],[ESTIMATED QUANTITY]]*Table001__Page_2_3[[#This Row],[UNIT COST]]</f>
        <v>30000</v>
      </c>
      <c r="H93" s="59">
        <v>27800</v>
      </c>
      <c r="I93" s="59">
        <f>Table001__Page_2_3[[#This Row],[UNIT COST ]]*Table001__Page_2_3[[#This Row],[ESTIMATED QUANTITY]]</f>
        <v>27800</v>
      </c>
      <c r="J93" s="59">
        <v>35000</v>
      </c>
      <c r="K93" s="59">
        <f>Table001__Page_2_3[[#This Row],[UNIT COST  ]]*Table001__Page_2_3[[#This Row],[ESTIMATED QUANTITY]]</f>
        <v>35000</v>
      </c>
      <c r="L93" s="59">
        <v>35000</v>
      </c>
      <c r="M93" s="59">
        <f>Table001__Page_2_3[[#This Row],[UNIT COST   ]]*Table001__Page_2_3[[#This Row],[ESTIMATED QUANTITY]]</f>
        <v>35000</v>
      </c>
      <c r="N93" s="14"/>
    </row>
    <row r="94" spans="1:14" x14ac:dyDescent="0.35">
      <c r="A94" s="16">
        <v>81</v>
      </c>
      <c r="B94" s="16" t="s">
        <v>1070</v>
      </c>
      <c r="C94" s="45" t="s">
        <v>1071</v>
      </c>
      <c r="D94" s="16" t="s">
        <v>945</v>
      </c>
      <c r="E94" s="16">
        <v>2</v>
      </c>
      <c r="F94" s="59">
        <v>15000</v>
      </c>
      <c r="G94" s="59">
        <f>Table001__Page_2_3[[#This Row],[ESTIMATED QUANTITY]]*Table001__Page_2_3[[#This Row],[UNIT COST]]</f>
        <v>30000</v>
      </c>
      <c r="H94" s="59">
        <v>14400</v>
      </c>
      <c r="I94" s="59">
        <f>Table001__Page_2_3[[#This Row],[UNIT COST ]]*Table001__Page_2_3[[#This Row],[ESTIMATED QUANTITY]]</f>
        <v>28800</v>
      </c>
      <c r="J94" s="59">
        <v>17200</v>
      </c>
      <c r="K94" s="59">
        <f>Table001__Page_2_3[[#This Row],[UNIT COST  ]]*Table001__Page_2_3[[#This Row],[ESTIMATED QUANTITY]]</f>
        <v>34400</v>
      </c>
      <c r="L94" s="59">
        <v>18000</v>
      </c>
      <c r="M94" s="59">
        <f>Table001__Page_2_3[[#This Row],[UNIT COST   ]]*Table001__Page_2_3[[#This Row],[ESTIMATED QUANTITY]]</f>
        <v>36000</v>
      </c>
      <c r="N94" s="14"/>
    </row>
    <row r="95" spans="1:14" x14ac:dyDescent="0.35">
      <c r="A95" s="16">
        <v>82</v>
      </c>
      <c r="B95" s="16" t="s">
        <v>828</v>
      </c>
      <c r="C95" s="45" t="s">
        <v>1072</v>
      </c>
      <c r="D95" s="16" t="s">
        <v>949</v>
      </c>
      <c r="E95" s="16">
        <v>42000</v>
      </c>
      <c r="F95" s="59">
        <v>3</v>
      </c>
      <c r="G95" s="59">
        <f>Table001__Page_2_3[[#This Row],[ESTIMATED QUANTITY]]*Table001__Page_2_3[[#This Row],[UNIT COST]]</f>
        <v>126000</v>
      </c>
      <c r="H95" s="59">
        <v>1.9</v>
      </c>
      <c r="I95" s="59">
        <f>Table001__Page_2_3[[#This Row],[UNIT COST ]]*Table001__Page_2_3[[#This Row],[ESTIMATED QUANTITY]]</f>
        <v>79800</v>
      </c>
      <c r="J95" s="59">
        <v>2.25</v>
      </c>
      <c r="K95" s="59">
        <f>Table001__Page_2_3[[#This Row],[UNIT COST  ]]*Table001__Page_2_3[[#This Row],[ESTIMATED QUANTITY]]</f>
        <v>94500</v>
      </c>
      <c r="L95" s="59">
        <v>2.2999999999999998</v>
      </c>
      <c r="M95" s="59">
        <f>Table001__Page_2_3[[#This Row],[UNIT COST   ]]*Table001__Page_2_3[[#This Row],[ESTIMATED QUANTITY]]</f>
        <v>96599.999999999985</v>
      </c>
      <c r="N95" s="14"/>
    </row>
    <row r="96" spans="1:14" x14ac:dyDescent="0.35">
      <c r="A96" s="16">
        <v>83</v>
      </c>
      <c r="B96" s="16" t="s">
        <v>830</v>
      </c>
      <c r="C96" s="93" t="s">
        <v>1073</v>
      </c>
      <c r="D96" s="16" t="s">
        <v>949</v>
      </c>
      <c r="E96" s="16">
        <v>21000</v>
      </c>
      <c r="F96" s="59">
        <v>2.5</v>
      </c>
      <c r="G96" s="59">
        <f>Table001__Page_2_3[[#This Row],[ESTIMATED QUANTITY]]*Table001__Page_2_3[[#This Row],[UNIT COST]]</f>
        <v>52500</v>
      </c>
      <c r="H96" s="59">
        <v>1.9</v>
      </c>
      <c r="I96" s="59">
        <f>Table001__Page_2_3[[#This Row],[UNIT COST ]]*Table001__Page_2_3[[#This Row],[ESTIMATED QUANTITY]]</f>
        <v>39900</v>
      </c>
      <c r="J96" s="59">
        <v>2.25</v>
      </c>
      <c r="K96" s="59">
        <f>Table001__Page_2_3[[#This Row],[UNIT COST  ]]*Table001__Page_2_3[[#This Row],[ESTIMATED QUANTITY]]</f>
        <v>47250</v>
      </c>
      <c r="L96" s="59">
        <v>2.2999999999999998</v>
      </c>
      <c r="M96" s="59">
        <f>Table001__Page_2_3[[#This Row],[UNIT COST   ]]*Table001__Page_2_3[[#This Row],[ESTIMATED QUANTITY]]</f>
        <v>48299.999999999993</v>
      </c>
      <c r="N96" s="14"/>
    </row>
    <row r="97" spans="1:14" x14ac:dyDescent="0.35">
      <c r="A97" s="16">
        <v>84</v>
      </c>
      <c r="B97" s="16" t="s">
        <v>832</v>
      </c>
      <c r="C97" s="45" t="s">
        <v>1074</v>
      </c>
      <c r="D97" s="16" t="s">
        <v>949</v>
      </c>
      <c r="E97" s="16">
        <v>3300</v>
      </c>
      <c r="F97" s="59">
        <v>6</v>
      </c>
      <c r="G97" s="59">
        <f>Table001__Page_2_3[[#This Row],[ESTIMATED QUANTITY]]*Table001__Page_2_3[[#This Row],[UNIT COST]]</f>
        <v>19800</v>
      </c>
      <c r="H97" s="59">
        <v>5.4</v>
      </c>
      <c r="I97" s="59">
        <f>Table001__Page_2_3[[#This Row],[UNIT COST ]]*Table001__Page_2_3[[#This Row],[ESTIMATED QUANTITY]]</f>
        <v>17820</v>
      </c>
      <c r="J97" s="59">
        <v>6.45</v>
      </c>
      <c r="K97" s="59">
        <f>Table001__Page_2_3[[#This Row],[UNIT COST  ]]*Table001__Page_2_3[[#This Row],[ESTIMATED QUANTITY]]</f>
        <v>21285</v>
      </c>
      <c r="L97" s="59">
        <v>7</v>
      </c>
      <c r="M97" s="59">
        <f>Table001__Page_2_3[[#This Row],[UNIT COST   ]]*Table001__Page_2_3[[#This Row],[ESTIMATED QUANTITY]]</f>
        <v>23100</v>
      </c>
      <c r="N97" s="14"/>
    </row>
    <row r="98" spans="1:14" x14ac:dyDescent="0.35">
      <c r="A98" s="16">
        <v>85</v>
      </c>
      <c r="B98" s="16" t="s">
        <v>1075</v>
      </c>
      <c r="C98" s="45" t="s">
        <v>1076</v>
      </c>
      <c r="D98" s="16" t="s">
        <v>945</v>
      </c>
      <c r="E98" s="16">
        <v>1</v>
      </c>
      <c r="F98" s="59">
        <v>25000</v>
      </c>
      <c r="G98" s="59">
        <f>Table001__Page_2_3[[#This Row],[ESTIMATED QUANTITY]]*Table001__Page_2_3[[#This Row],[UNIT COST]]</f>
        <v>25000</v>
      </c>
      <c r="H98" s="59">
        <v>47300</v>
      </c>
      <c r="I98" s="59">
        <f>Table001__Page_2_3[[#This Row],[UNIT COST ]]*Table001__Page_2_3[[#This Row],[ESTIMATED QUANTITY]]</f>
        <v>47300</v>
      </c>
      <c r="J98" s="59">
        <v>56400</v>
      </c>
      <c r="K98" s="59">
        <f>Table001__Page_2_3[[#This Row],[UNIT COST  ]]*Table001__Page_2_3[[#This Row],[ESTIMATED QUANTITY]]</f>
        <v>56400</v>
      </c>
      <c r="L98" s="59">
        <v>58000</v>
      </c>
      <c r="M98" s="59">
        <f>Table001__Page_2_3[[#This Row],[UNIT COST   ]]*Table001__Page_2_3[[#This Row],[ESTIMATED QUANTITY]]</f>
        <v>58000</v>
      </c>
      <c r="N98" s="14"/>
    </row>
    <row r="99" spans="1:14" x14ac:dyDescent="0.35">
      <c r="A99" s="16">
        <v>86</v>
      </c>
      <c r="B99" s="16" t="s">
        <v>836</v>
      </c>
      <c r="C99" s="45" t="s">
        <v>1077</v>
      </c>
      <c r="D99" s="16" t="s">
        <v>949</v>
      </c>
      <c r="E99" s="16">
        <v>22050</v>
      </c>
      <c r="F99" s="59">
        <v>12</v>
      </c>
      <c r="G99" s="59">
        <f>Table001__Page_2_3[[#This Row],[ESTIMATED QUANTITY]]*Table001__Page_2_3[[#This Row],[UNIT COST]]</f>
        <v>264600</v>
      </c>
      <c r="H99" s="59">
        <v>9.25</v>
      </c>
      <c r="I99" s="59">
        <f>Table001__Page_2_3[[#This Row],[UNIT COST ]]*Table001__Page_2_3[[#This Row],[ESTIMATED QUANTITY]]</f>
        <v>203962.5</v>
      </c>
      <c r="J99" s="59">
        <v>11</v>
      </c>
      <c r="K99" s="59">
        <f>Table001__Page_2_3[[#This Row],[UNIT COST  ]]*Table001__Page_2_3[[#This Row],[ESTIMATED QUANTITY]]</f>
        <v>242550</v>
      </c>
      <c r="L99" s="59">
        <v>11</v>
      </c>
      <c r="M99" s="59">
        <f>Table001__Page_2_3[[#This Row],[UNIT COST   ]]*Table001__Page_2_3[[#This Row],[ESTIMATED QUANTITY]]</f>
        <v>242550</v>
      </c>
      <c r="N99" s="14"/>
    </row>
    <row r="100" spans="1:14" x14ac:dyDescent="0.35">
      <c r="A100" s="16">
        <v>87</v>
      </c>
      <c r="B100" s="16" t="s">
        <v>838</v>
      </c>
      <c r="C100" s="45" t="s">
        <v>1078</v>
      </c>
      <c r="D100" s="16" t="s">
        <v>949</v>
      </c>
      <c r="E100" s="16">
        <v>1000</v>
      </c>
      <c r="F100" s="59">
        <v>40</v>
      </c>
      <c r="G100" s="59">
        <f>Table001__Page_2_3[[#This Row],[ESTIMATED QUANTITY]]*Table001__Page_2_3[[#This Row],[UNIT COST]]</f>
        <v>40000</v>
      </c>
      <c r="H100" s="59">
        <v>32.9</v>
      </c>
      <c r="I100" s="59">
        <f>Table001__Page_2_3[[#This Row],[UNIT COST ]]*Table001__Page_2_3[[#This Row],[ESTIMATED QUANTITY]]</f>
        <v>32900</v>
      </c>
      <c r="J100" s="59">
        <v>40</v>
      </c>
      <c r="K100" s="59">
        <f>Table001__Page_2_3[[#This Row],[UNIT COST  ]]*Table001__Page_2_3[[#This Row],[ESTIMATED QUANTITY]]</f>
        <v>40000</v>
      </c>
      <c r="L100" s="59">
        <v>44</v>
      </c>
      <c r="M100" s="59">
        <f>Table001__Page_2_3[[#This Row],[UNIT COST   ]]*Table001__Page_2_3[[#This Row],[ESTIMATED QUANTITY]]</f>
        <v>44000</v>
      </c>
      <c r="N100" s="14"/>
    </row>
    <row r="101" spans="1:14" x14ac:dyDescent="0.35">
      <c r="A101" s="16">
        <v>88</v>
      </c>
      <c r="B101" s="16" t="s">
        <v>842</v>
      </c>
      <c r="C101" s="45" t="s">
        <v>1079</v>
      </c>
      <c r="D101" s="16" t="s">
        <v>945</v>
      </c>
      <c r="E101" s="16">
        <v>7</v>
      </c>
      <c r="F101" s="59">
        <v>7000</v>
      </c>
      <c r="G101" s="59">
        <f>Table001__Page_2_3[[#This Row],[ESTIMATED QUANTITY]]*Table001__Page_2_3[[#This Row],[UNIT COST]]</f>
        <v>49000</v>
      </c>
      <c r="H101" s="59">
        <v>6170</v>
      </c>
      <c r="I101" s="59">
        <f>Table001__Page_2_3[[#This Row],[UNIT COST ]]*Table001__Page_2_3[[#This Row],[ESTIMATED QUANTITY]]</f>
        <v>43190</v>
      </c>
      <c r="J101" s="59">
        <v>7350</v>
      </c>
      <c r="K101" s="59">
        <f>Table001__Page_2_3[[#This Row],[UNIT COST  ]]*Table001__Page_2_3[[#This Row],[ESTIMATED QUANTITY]]</f>
        <v>51450</v>
      </c>
      <c r="L101" s="59">
        <v>8000</v>
      </c>
      <c r="M101" s="59">
        <f>Table001__Page_2_3[[#This Row],[UNIT COST   ]]*Table001__Page_2_3[[#This Row],[ESTIMATED QUANTITY]]</f>
        <v>56000</v>
      </c>
      <c r="N101" s="14"/>
    </row>
    <row r="102" spans="1:14" x14ac:dyDescent="0.35">
      <c r="A102" s="16">
        <v>89</v>
      </c>
      <c r="B102" s="16" t="s">
        <v>844</v>
      </c>
      <c r="C102" s="45" t="s">
        <v>1080</v>
      </c>
      <c r="D102" s="16" t="s">
        <v>945</v>
      </c>
      <c r="E102" s="16">
        <v>18</v>
      </c>
      <c r="F102" s="59">
        <v>1400</v>
      </c>
      <c r="G102" s="59">
        <f>Table001__Page_2_3[[#This Row],[ESTIMATED QUANTITY]]*Table001__Page_2_3[[#This Row],[UNIT COST]]</f>
        <v>25200</v>
      </c>
      <c r="H102" s="59">
        <v>1340</v>
      </c>
      <c r="I102" s="59">
        <f>Table001__Page_2_3[[#This Row],[UNIT COST ]]*Table001__Page_2_3[[#This Row],[ESTIMATED QUANTITY]]</f>
        <v>24120</v>
      </c>
      <c r="J102" s="59">
        <v>1600</v>
      </c>
      <c r="K102" s="59">
        <f>Table001__Page_2_3[[#This Row],[UNIT COST  ]]*Table001__Page_2_3[[#This Row],[ESTIMATED QUANTITY]]</f>
        <v>28800</v>
      </c>
      <c r="L102" s="59">
        <v>4500</v>
      </c>
      <c r="M102" s="59">
        <f>Table001__Page_2_3[[#This Row],[UNIT COST   ]]*Table001__Page_2_3[[#This Row],[ESTIMATED QUANTITY]]</f>
        <v>81000</v>
      </c>
      <c r="N102" s="14"/>
    </row>
    <row r="103" spans="1:14" x14ac:dyDescent="0.35">
      <c r="A103" s="16">
        <v>90</v>
      </c>
      <c r="B103" s="16" t="s">
        <v>31</v>
      </c>
      <c r="C103" s="45" t="s">
        <v>1081</v>
      </c>
      <c r="D103" s="16" t="s">
        <v>945</v>
      </c>
      <c r="E103" s="16">
        <v>11</v>
      </c>
      <c r="F103" s="59">
        <v>1800</v>
      </c>
      <c r="G103" s="59">
        <f>Table001__Page_2_3[[#This Row],[ESTIMATED QUANTITY]]*Table001__Page_2_3[[#This Row],[UNIT COST]]</f>
        <v>19800</v>
      </c>
      <c r="H103" s="59">
        <v>1800</v>
      </c>
      <c r="I103" s="59">
        <f>Table001__Page_2_3[[#This Row],[UNIT COST ]]*Table001__Page_2_3[[#This Row],[ESTIMATED QUANTITY]]</f>
        <v>19800</v>
      </c>
      <c r="J103" s="59">
        <v>2150</v>
      </c>
      <c r="K103" s="59">
        <f>Table001__Page_2_3[[#This Row],[UNIT COST  ]]*Table001__Page_2_3[[#This Row],[ESTIMATED QUANTITY]]</f>
        <v>23650</v>
      </c>
      <c r="L103" s="59">
        <v>2200</v>
      </c>
      <c r="M103" s="59">
        <f>Table001__Page_2_3[[#This Row],[UNIT COST   ]]*Table001__Page_2_3[[#This Row],[ESTIMATED QUANTITY]]</f>
        <v>24200</v>
      </c>
      <c r="N103" s="14"/>
    </row>
    <row r="104" spans="1:14" x14ac:dyDescent="0.35">
      <c r="A104" s="16">
        <v>91</v>
      </c>
      <c r="B104" s="16" t="s">
        <v>746</v>
      </c>
      <c r="C104" s="45" t="s">
        <v>1082</v>
      </c>
      <c r="D104" s="16" t="s">
        <v>945</v>
      </c>
      <c r="E104" s="16">
        <v>37</v>
      </c>
      <c r="F104" s="59">
        <v>1900</v>
      </c>
      <c r="G104" s="59">
        <f>Table001__Page_2_3[[#This Row],[ESTIMATED QUANTITY]]*Table001__Page_2_3[[#This Row],[UNIT COST]]</f>
        <v>70300</v>
      </c>
      <c r="H104" s="59">
        <v>1850</v>
      </c>
      <c r="I104" s="59">
        <f>Table001__Page_2_3[[#This Row],[UNIT COST ]]*Table001__Page_2_3[[#This Row],[ESTIMATED QUANTITY]]</f>
        <v>68450</v>
      </c>
      <c r="J104" s="59">
        <v>2205</v>
      </c>
      <c r="K104" s="59">
        <f>Table001__Page_2_3[[#This Row],[UNIT COST  ]]*Table001__Page_2_3[[#This Row],[ESTIMATED QUANTITY]]</f>
        <v>81585</v>
      </c>
      <c r="L104" s="59">
        <v>2300</v>
      </c>
      <c r="M104" s="59">
        <f>Table001__Page_2_3[[#This Row],[UNIT COST   ]]*Table001__Page_2_3[[#This Row],[ESTIMATED QUANTITY]]</f>
        <v>85100</v>
      </c>
      <c r="N104" s="14"/>
    </row>
    <row r="105" spans="1:14" x14ac:dyDescent="0.35">
      <c r="A105" s="16">
        <v>92</v>
      </c>
      <c r="B105" s="16" t="s">
        <v>748</v>
      </c>
      <c r="C105" s="45" t="s">
        <v>1083</v>
      </c>
      <c r="D105" s="16" t="s">
        <v>945</v>
      </c>
      <c r="E105" s="16">
        <v>1</v>
      </c>
      <c r="F105" s="59">
        <v>6000</v>
      </c>
      <c r="G105" s="59">
        <f>Table001__Page_2_3[[#This Row],[ESTIMATED QUANTITY]]*Table001__Page_2_3[[#This Row],[UNIT COST]]</f>
        <v>6000</v>
      </c>
      <c r="H105" s="59">
        <v>5140</v>
      </c>
      <c r="I105" s="59">
        <f>Table001__Page_2_3[[#This Row],[UNIT COST ]]*Table001__Page_2_3[[#This Row],[ESTIMATED QUANTITY]]</f>
        <v>5140</v>
      </c>
      <c r="J105" s="59">
        <v>6125</v>
      </c>
      <c r="K105" s="59">
        <f>Table001__Page_2_3[[#This Row],[UNIT COST  ]]*Table001__Page_2_3[[#This Row],[ESTIMATED QUANTITY]]</f>
        <v>6125</v>
      </c>
      <c r="L105" s="59">
        <v>6300</v>
      </c>
      <c r="M105" s="59">
        <f>Table001__Page_2_3[[#This Row],[UNIT COST   ]]*Table001__Page_2_3[[#This Row],[ESTIMATED QUANTITY]]</f>
        <v>6300</v>
      </c>
      <c r="N105" s="14"/>
    </row>
    <row r="106" spans="1:14" x14ac:dyDescent="0.35">
      <c r="A106" s="16">
        <v>93</v>
      </c>
      <c r="B106" s="16" t="s">
        <v>750</v>
      </c>
      <c r="C106" s="45" t="s">
        <v>1084</v>
      </c>
      <c r="D106" s="16" t="s">
        <v>945</v>
      </c>
      <c r="E106" s="16">
        <v>16</v>
      </c>
      <c r="F106" s="59">
        <v>2000</v>
      </c>
      <c r="G106" s="59">
        <f>Table001__Page_2_3[[#This Row],[ESTIMATED QUANTITY]]*Table001__Page_2_3[[#This Row],[UNIT COST]]</f>
        <v>32000</v>
      </c>
      <c r="H106" s="59">
        <v>1950</v>
      </c>
      <c r="I106" s="59">
        <f>Table001__Page_2_3[[#This Row],[UNIT COST ]]*Table001__Page_2_3[[#This Row],[ESTIMATED QUANTITY]]</f>
        <v>31200</v>
      </c>
      <c r="J106" s="59">
        <v>2325</v>
      </c>
      <c r="K106" s="59">
        <f>Table001__Page_2_3[[#This Row],[UNIT COST  ]]*Table001__Page_2_3[[#This Row],[ESTIMATED QUANTITY]]</f>
        <v>37200</v>
      </c>
      <c r="L106" s="59">
        <v>2400</v>
      </c>
      <c r="M106" s="59">
        <f>Table001__Page_2_3[[#This Row],[UNIT COST   ]]*Table001__Page_2_3[[#This Row],[ESTIMATED QUANTITY]]</f>
        <v>38400</v>
      </c>
      <c r="N106" s="14"/>
    </row>
    <row r="107" spans="1:14" x14ac:dyDescent="0.35">
      <c r="A107" s="16">
        <v>94</v>
      </c>
      <c r="B107" s="16" t="s">
        <v>752</v>
      </c>
      <c r="C107" s="45" t="s">
        <v>1085</v>
      </c>
      <c r="D107" s="16" t="s">
        <v>945</v>
      </c>
      <c r="E107" s="16">
        <v>4</v>
      </c>
      <c r="F107" s="59">
        <v>6000</v>
      </c>
      <c r="G107" s="59">
        <f>Table001__Page_2_3[[#This Row],[ESTIMATED QUANTITY]]*Table001__Page_2_3[[#This Row],[UNIT COST]]</f>
        <v>24000</v>
      </c>
      <c r="H107" s="59">
        <v>4940</v>
      </c>
      <c r="I107" s="59">
        <f>Table001__Page_2_3[[#This Row],[UNIT COST ]]*Table001__Page_2_3[[#This Row],[ESTIMATED QUANTITY]]</f>
        <v>19760</v>
      </c>
      <c r="J107" s="59">
        <v>5875</v>
      </c>
      <c r="K107" s="59">
        <f>Table001__Page_2_3[[#This Row],[UNIT COST  ]]*Table001__Page_2_3[[#This Row],[ESTIMATED QUANTITY]]</f>
        <v>23500</v>
      </c>
      <c r="L107" s="59">
        <v>6000</v>
      </c>
      <c r="M107" s="59">
        <f>Table001__Page_2_3[[#This Row],[UNIT COST   ]]*Table001__Page_2_3[[#This Row],[ESTIMATED QUANTITY]]</f>
        <v>24000</v>
      </c>
      <c r="N107" s="14"/>
    </row>
    <row r="108" spans="1:14" x14ac:dyDescent="0.35">
      <c r="A108" s="16">
        <v>95</v>
      </c>
      <c r="B108" s="16" t="s">
        <v>851</v>
      </c>
      <c r="C108" s="45" t="s">
        <v>1086</v>
      </c>
      <c r="D108" s="16" t="s">
        <v>945</v>
      </c>
      <c r="E108" s="16">
        <v>3</v>
      </c>
      <c r="F108" s="59">
        <v>7000</v>
      </c>
      <c r="G108" s="59">
        <f>Table001__Page_2_3[[#This Row],[ESTIMATED QUANTITY]]*Table001__Page_2_3[[#This Row],[UNIT COST]]</f>
        <v>21000</v>
      </c>
      <c r="H108" s="59">
        <v>5660</v>
      </c>
      <c r="I108" s="59">
        <f>Table001__Page_2_3[[#This Row],[UNIT COST ]]*Table001__Page_2_3[[#This Row],[ESTIMATED QUANTITY]]</f>
        <v>16980</v>
      </c>
      <c r="J108" s="59">
        <v>6735</v>
      </c>
      <c r="K108" s="59">
        <f>Table001__Page_2_3[[#This Row],[UNIT COST  ]]*Table001__Page_2_3[[#This Row],[ESTIMATED QUANTITY]]</f>
        <v>20205</v>
      </c>
      <c r="L108" s="59">
        <v>6900</v>
      </c>
      <c r="M108" s="59">
        <f>Table001__Page_2_3[[#This Row],[UNIT COST   ]]*Table001__Page_2_3[[#This Row],[ESTIMATED QUANTITY]]</f>
        <v>20700</v>
      </c>
      <c r="N108" s="14"/>
    </row>
    <row r="109" spans="1:14" x14ac:dyDescent="0.35">
      <c r="A109" s="16">
        <v>96</v>
      </c>
      <c r="B109" s="16" t="s">
        <v>853</v>
      </c>
      <c r="C109" s="45" t="s">
        <v>1087</v>
      </c>
      <c r="D109" s="16" t="s">
        <v>945</v>
      </c>
      <c r="E109" s="16">
        <v>4</v>
      </c>
      <c r="F109" s="59">
        <v>4500</v>
      </c>
      <c r="G109" s="59">
        <f>Table001__Page_2_3[[#This Row],[ESTIMATED QUANTITY]]*Table001__Page_2_3[[#This Row],[UNIT COST]]</f>
        <v>18000</v>
      </c>
      <c r="H109" s="59">
        <v>3700</v>
      </c>
      <c r="I109" s="59">
        <f>Table001__Page_2_3[[#This Row],[UNIT COST ]]*Table001__Page_2_3[[#This Row],[ESTIMATED QUANTITY]]</f>
        <v>14800</v>
      </c>
      <c r="J109" s="59">
        <v>4410</v>
      </c>
      <c r="K109" s="59">
        <f>Table001__Page_2_3[[#This Row],[UNIT COST  ]]*Table001__Page_2_3[[#This Row],[ESTIMATED QUANTITY]]</f>
        <v>17640</v>
      </c>
      <c r="L109" s="59">
        <v>4800</v>
      </c>
      <c r="M109" s="59">
        <f>Table001__Page_2_3[[#This Row],[UNIT COST   ]]*Table001__Page_2_3[[#This Row],[ESTIMATED QUANTITY]]</f>
        <v>19200</v>
      </c>
      <c r="N109" s="14"/>
    </row>
    <row r="110" spans="1:14" x14ac:dyDescent="0.35">
      <c r="A110" s="16">
        <v>97</v>
      </c>
      <c r="B110" s="16" t="s">
        <v>855</v>
      </c>
      <c r="C110" s="45" t="s">
        <v>1088</v>
      </c>
      <c r="D110" s="16" t="s">
        <v>945</v>
      </c>
      <c r="E110" s="16">
        <v>7</v>
      </c>
      <c r="F110" s="59">
        <v>8000</v>
      </c>
      <c r="G110" s="59">
        <f>Table001__Page_2_3[[#This Row],[ESTIMATED QUANTITY]]*Table001__Page_2_3[[#This Row],[UNIT COST]]</f>
        <v>56000</v>
      </c>
      <c r="H110" s="59">
        <v>6940</v>
      </c>
      <c r="I110" s="59">
        <f>Table001__Page_2_3[[#This Row],[UNIT COST ]]*Table001__Page_2_3[[#This Row],[ESTIMATED QUANTITY]]</f>
        <v>48580</v>
      </c>
      <c r="J110" s="59">
        <v>8260</v>
      </c>
      <c r="K110" s="59">
        <f>Table001__Page_2_3[[#This Row],[UNIT COST  ]]*Table001__Page_2_3[[#This Row],[ESTIMATED QUANTITY]]</f>
        <v>57820</v>
      </c>
      <c r="L110" s="59">
        <v>8500</v>
      </c>
      <c r="M110" s="59">
        <f>Table001__Page_2_3[[#This Row],[UNIT COST   ]]*Table001__Page_2_3[[#This Row],[ESTIMATED QUANTITY]]</f>
        <v>59500</v>
      </c>
      <c r="N110" s="14"/>
    </row>
    <row r="111" spans="1:14" x14ac:dyDescent="0.35">
      <c r="A111" s="16">
        <v>98</v>
      </c>
      <c r="B111" s="16" t="s">
        <v>857</v>
      </c>
      <c r="C111" s="45" t="s">
        <v>1089</v>
      </c>
      <c r="D111" s="16" t="s">
        <v>945</v>
      </c>
      <c r="E111" s="16">
        <v>1</v>
      </c>
      <c r="F111" s="59">
        <v>6000</v>
      </c>
      <c r="G111" s="59">
        <f>Table001__Page_2_3[[#This Row],[ESTIMATED QUANTITY]]*Table001__Page_2_3[[#This Row],[UNIT COST]]</f>
        <v>6000</v>
      </c>
      <c r="H111" s="59">
        <v>4730</v>
      </c>
      <c r="I111" s="59">
        <f>Table001__Page_2_3[[#This Row],[UNIT COST ]]*Table001__Page_2_3[[#This Row],[ESTIMATED QUANTITY]]</f>
        <v>4730</v>
      </c>
      <c r="J111" s="59">
        <v>5630</v>
      </c>
      <c r="K111" s="59">
        <f>Table001__Page_2_3[[#This Row],[UNIT COST  ]]*Table001__Page_2_3[[#This Row],[ESTIMATED QUANTITY]]</f>
        <v>5630</v>
      </c>
      <c r="L111" s="59">
        <v>5800</v>
      </c>
      <c r="M111" s="59">
        <f>Table001__Page_2_3[[#This Row],[UNIT COST   ]]*Table001__Page_2_3[[#This Row],[ESTIMATED QUANTITY]]</f>
        <v>5800</v>
      </c>
      <c r="N111" s="14"/>
    </row>
    <row r="112" spans="1:14" x14ac:dyDescent="0.35">
      <c r="A112" s="16">
        <v>99</v>
      </c>
      <c r="B112" s="16" t="s">
        <v>859</v>
      </c>
      <c r="C112" s="45" t="s">
        <v>1090</v>
      </c>
      <c r="D112" s="16" t="s">
        <v>945</v>
      </c>
      <c r="E112" s="16">
        <v>4</v>
      </c>
      <c r="F112" s="59">
        <v>9000</v>
      </c>
      <c r="G112" s="59">
        <f>Table001__Page_2_3[[#This Row],[ESTIMATED QUANTITY]]*Table001__Page_2_3[[#This Row],[UNIT COST]]</f>
        <v>36000</v>
      </c>
      <c r="H112" s="59">
        <v>8540</v>
      </c>
      <c r="I112" s="59">
        <f>Table001__Page_2_3[[#This Row],[UNIT COST ]]*Table001__Page_2_3[[#This Row],[ESTIMATED QUANTITY]]</f>
        <v>34160</v>
      </c>
      <c r="J112" s="59">
        <v>10200</v>
      </c>
      <c r="K112" s="59">
        <f>Table001__Page_2_3[[#This Row],[UNIT COST  ]]*Table001__Page_2_3[[#This Row],[ESTIMATED QUANTITY]]</f>
        <v>40800</v>
      </c>
      <c r="L112" s="59">
        <v>10400</v>
      </c>
      <c r="M112" s="59">
        <f>Table001__Page_2_3[[#This Row],[UNIT COST   ]]*Table001__Page_2_3[[#This Row],[ESTIMATED QUANTITY]]</f>
        <v>41600</v>
      </c>
      <c r="N112" s="14"/>
    </row>
    <row r="113" spans="1:14" x14ac:dyDescent="0.35">
      <c r="A113" s="16">
        <v>100</v>
      </c>
      <c r="B113" s="16" t="s">
        <v>1091</v>
      </c>
      <c r="C113" s="45" t="s">
        <v>1092</v>
      </c>
      <c r="D113" s="16" t="s">
        <v>942</v>
      </c>
      <c r="E113" s="16">
        <v>1</v>
      </c>
      <c r="F113" s="59">
        <v>30000</v>
      </c>
      <c r="G113" s="59">
        <f>Table001__Page_2_3[[#This Row],[ESTIMATED QUANTITY]]*Table001__Page_2_3[[#This Row],[UNIT COST]]</f>
        <v>30000</v>
      </c>
      <c r="H113" s="59">
        <v>27300</v>
      </c>
      <c r="I113" s="59">
        <f>Table001__Page_2_3[[#This Row],[UNIT COST ]]*Table001__Page_2_3[[#This Row],[ESTIMATED QUANTITY]]</f>
        <v>27300</v>
      </c>
      <c r="J113" s="59">
        <v>32500</v>
      </c>
      <c r="K113" s="59">
        <f>Table001__Page_2_3[[#This Row],[UNIT COST  ]]*Table001__Page_2_3[[#This Row],[ESTIMATED QUANTITY]]</f>
        <v>32500</v>
      </c>
      <c r="L113" s="59">
        <v>33100</v>
      </c>
      <c r="M113" s="59">
        <f>Table001__Page_2_3[[#This Row],[UNIT COST   ]]*Table001__Page_2_3[[#This Row],[ESTIMATED QUANTITY]]</f>
        <v>33100</v>
      </c>
      <c r="N113" s="14"/>
    </row>
    <row r="114" spans="1:14" x14ac:dyDescent="0.35">
      <c r="A114" s="16">
        <v>101</v>
      </c>
      <c r="B114" s="16" t="s">
        <v>1093</v>
      </c>
      <c r="C114" s="45" t="s">
        <v>1094</v>
      </c>
      <c r="D114" s="16" t="s">
        <v>942</v>
      </c>
      <c r="E114" s="16">
        <v>1</v>
      </c>
      <c r="F114" s="59">
        <v>30000</v>
      </c>
      <c r="G114" s="59">
        <f>Table001__Page_2_3[[#This Row],[ESTIMATED QUANTITY]]*Table001__Page_2_3[[#This Row],[UNIT COST]]</f>
        <v>30000</v>
      </c>
      <c r="H114" s="59">
        <v>27300</v>
      </c>
      <c r="I114" s="59">
        <f>Table001__Page_2_3[[#This Row],[UNIT COST ]]*Table001__Page_2_3[[#This Row],[ESTIMATED QUANTITY]]</f>
        <v>27300</v>
      </c>
      <c r="J114" s="59">
        <v>32500</v>
      </c>
      <c r="K114" s="59">
        <f>Table001__Page_2_3[[#This Row],[UNIT COST  ]]*Table001__Page_2_3[[#This Row],[ESTIMATED QUANTITY]]</f>
        <v>32500</v>
      </c>
      <c r="L114" s="59">
        <v>33100</v>
      </c>
      <c r="M114" s="59">
        <f>Table001__Page_2_3[[#This Row],[UNIT COST   ]]*Table001__Page_2_3[[#This Row],[ESTIMATED QUANTITY]]</f>
        <v>33100</v>
      </c>
      <c r="N114" s="14"/>
    </row>
    <row r="115" spans="1:14" x14ac:dyDescent="0.35">
      <c r="A115" s="16">
        <v>102</v>
      </c>
      <c r="B115" s="16" t="s">
        <v>1095</v>
      </c>
      <c r="C115" s="45" t="s">
        <v>1096</v>
      </c>
      <c r="D115" s="16" t="s">
        <v>949</v>
      </c>
      <c r="E115" s="16">
        <v>670</v>
      </c>
      <c r="F115" s="59">
        <v>45</v>
      </c>
      <c r="G115" s="59">
        <f>Table001__Page_2_3[[#This Row],[ESTIMATED QUANTITY]]*Table001__Page_2_3[[#This Row],[UNIT COST]]</f>
        <v>30150</v>
      </c>
      <c r="H115" s="59">
        <v>30.9</v>
      </c>
      <c r="I115" s="59">
        <f>Table001__Page_2_3[[#This Row],[UNIT COST ]]*Table001__Page_2_3[[#This Row],[ESTIMATED QUANTITY]]</f>
        <v>20703</v>
      </c>
      <c r="J115" s="59">
        <v>37</v>
      </c>
      <c r="K115" s="59">
        <f>Table001__Page_2_3[[#This Row],[UNIT COST  ]]*Table001__Page_2_3[[#This Row],[ESTIMATED QUANTITY]]</f>
        <v>24790</v>
      </c>
      <c r="L115" s="59">
        <v>38</v>
      </c>
      <c r="M115" s="59">
        <f>Table001__Page_2_3[[#This Row],[UNIT COST   ]]*Table001__Page_2_3[[#This Row],[ESTIMATED QUANTITY]]</f>
        <v>25460</v>
      </c>
      <c r="N115" s="14"/>
    </row>
    <row r="116" spans="1:14" x14ac:dyDescent="0.35">
      <c r="A116" s="16">
        <v>103</v>
      </c>
      <c r="B116" s="16" t="s">
        <v>1097</v>
      </c>
      <c r="C116" s="45" t="s">
        <v>1098</v>
      </c>
      <c r="D116" s="16" t="s">
        <v>945</v>
      </c>
      <c r="E116" s="16">
        <v>2</v>
      </c>
      <c r="F116" s="59">
        <v>5800</v>
      </c>
      <c r="G116" s="59">
        <f>Table001__Page_2_3[[#This Row],[ESTIMATED QUANTITY]]*Table001__Page_2_3[[#This Row],[UNIT COST]]</f>
        <v>11600</v>
      </c>
      <c r="H116" s="59">
        <v>5140</v>
      </c>
      <c r="I116" s="59">
        <f>Table001__Page_2_3[[#This Row],[UNIT COST ]]*Table001__Page_2_3[[#This Row],[ESTIMATED QUANTITY]]</f>
        <v>10280</v>
      </c>
      <c r="J116" s="59">
        <v>6200</v>
      </c>
      <c r="K116" s="59">
        <f>Table001__Page_2_3[[#This Row],[UNIT COST  ]]*Table001__Page_2_3[[#This Row],[ESTIMATED QUANTITY]]</f>
        <v>12400</v>
      </c>
      <c r="L116" s="59">
        <v>14000</v>
      </c>
      <c r="M116" s="59">
        <f>Table001__Page_2_3[[#This Row],[UNIT COST   ]]*Table001__Page_2_3[[#This Row],[ESTIMATED QUANTITY]]</f>
        <v>28000</v>
      </c>
      <c r="N116" s="14"/>
    </row>
    <row r="117" spans="1:14" x14ac:dyDescent="0.35">
      <c r="A117" s="16">
        <v>104</v>
      </c>
      <c r="B117" s="16" t="s">
        <v>1099</v>
      </c>
      <c r="C117" s="45" t="s">
        <v>1100</v>
      </c>
      <c r="D117" s="16" t="s">
        <v>945</v>
      </c>
      <c r="E117" s="16">
        <v>1</v>
      </c>
      <c r="F117" s="59">
        <v>4000</v>
      </c>
      <c r="G117" s="59">
        <f>Table001__Page_2_3[[#This Row],[ESTIMATED QUANTITY]]*Table001__Page_2_3[[#This Row],[UNIT COST]]</f>
        <v>4000</v>
      </c>
      <c r="H117" s="59">
        <v>6500</v>
      </c>
      <c r="I117" s="59">
        <f>Table001__Page_2_3[[#This Row],[UNIT COST ]]*Table001__Page_2_3[[#This Row],[ESTIMATED QUANTITY]]</f>
        <v>6500</v>
      </c>
      <c r="J117" s="59">
        <v>4500</v>
      </c>
      <c r="K117" s="59">
        <f>Table001__Page_2_3[[#This Row],[UNIT COST  ]]*Table001__Page_2_3[[#This Row],[ESTIMATED QUANTITY]]</f>
        <v>4500</v>
      </c>
      <c r="L117" s="59">
        <v>5500</v>
      </c>
      <c r="M117" s="59">
        <f>Table001__Page_2_3[[#This Row],[UNIT COST   ]]*Table001__Page_2_3[[#This Row],[ESTIMATED QUANTITY]]</f>
        <v>5500</v>
      </c>
      <c r="N117" s="14"/>
    </row>
    <row r="118" spans="1:14" x14ac:dyDescent="0.35">
      <c r="A118" s="16">
        <v>105</v>
      </c>
      <c r="B118" s="16" t="s">
        <v>1101</v>
      </c>
      <c r="C118" s="45" t="s">
        <v>1102</v>
      </c>
      <c r="D118" s="16" t="s">
        <v>945</v>
      </c>
      <c r="E118" s="16">
        <v>1</v>
      </c>
      <c r="F118" s="59">
        <v>8000</v>
      </c>
      <c r="G118" s="59">
        <f>Table001__Page_2_3[[#This Row],[ESTIMATED QUANTITY]]*Table001__Page_2_3[[#This Row],[UNIT COST]]</f>
        <v>8000</v>
      </c>
      <c r="H118" s="59">
        <v>9170</v>
      </c>
      <c r="I118" s="59">
        <f>Table001__Page_2_3[[#This Row],[UNIT COST ]]*Table001__Page_2_3[[#This Row],[ESTIMATED QUANTITY]]</f>
        <v>9170</v>
      </c>
      <c r="J118" s="59">
        <v>5500</v>
      </c>
      <c r="K118" s="59">
        <f>Table001__Page_2_3[[#This Row],[UNIT COST  ]]*Table001__Page_2_3[[#This Row],[ESTIMATED QUANTITY]]</f>
        <v>5500</v>
      </c>
      <c r="L118" s="59">
        <v>5600</v>
      </c>
      <c r="M118" s="59">
        <f>Table001__Page_2_3[[#This Row],[UNIT COST   ]]*Table001__Page_2_3[[#This Row],[ESTIMATED QUANTITY]]</f>
        <v>5600</v>
      </c>
      <c r="N118" s="14"/>
    </row>
    <row r="119" spans="1:14" x14ac:dyDescent="0.35">
      <c r="A119" s="16">
        <v>106</v>
      </c>
      <c r="B119" s="16" t="s">
        <v>1103</v>
      </c>
      <c r="C119" s="93" t="s">
        <v>1104</v>
      </c>
      <c r="D119" s="16" t="s">
        <v>949</v>
      </c>
      <c r="E119" s="16">
        <v>1350</v>
      </c>
      <c r="F119" s="59">
        <v>40</v>
      </c>
      <c r="G119" s="59">
        <f>Table001__Page_2_3[[#This Row],[ESTIMATED QUANTITY]]*Table001__Page_2_3[[#This Row],[UNIT COST]]</f>
        <v>54000</v>
      </c>
      <c r="H119" s="59">
        <v>53.5</v>
      </c>
      <c r="I119" s="59">
        <f>Table001__Page_2_3[[#This Row],[UNIT COST ]]*Table001__Page_2_3[[#This Row],[ESTIMATED QUANTITY]]</f>
        <v>72225</v>
      </c>
      <c r="J119" s="59">
        <v>64</v>
      </c>
      <c r="K119" s="59">
        <f>Table001__Page_2_3[[#This Row],[UNIT COST  ]]*Table001__Page_2_3[[#This Row],[ESTIMATED QUANTITY]]</f>
        <v>86400</v>
      </c>
      <c r="L119" s="59">
        <v>60</v>
      </c>
      <c r="M119" s="59">
        <f>Table001__Page_2_3[[#This Row],[UNIT COST   ]]*Table001__Page_2_3[[#This Row],[ESTIMATED QUANTITY]]</f>
        <v>81000</v>
      </c>
      <c r="N119" s="14"/>
    </row>
    <row r="120" spans="1:14" x14ac:dyDescent="0.35">
      <c r="A120" s="16">
        <v>107</v>
      </c>
      <c r="B120" s="16" t="s">
        <v>1105</v>
      </c>
      <c r="C120" s="93" t="s">
        <v>1106</v>
      </c>
      <c r="D120" s="16" t="s">
        <v>949</v>
      </c>
      <c r="E120" s="16">
        <v>250</v>
      </c>
      <c r="F120" s="59">
        <v>10</v>
      </c>
      <c r="G120" s="59">
        <f>Table001__Page_2_3[[#This Row],[ESTIMATED QUANTITY]]*Table001__Page_2_3[[#This Row],[UNIT COST]]</f>
        <v>2500</v>
      </c>
      <c r="H120" s="59">
        <v>15.4</v>
      </c>
      <c r="I120" s="59">
        <f>Table001__Page_2_3[[#This Row],[UNIT COST ]]*Table001__Page_2_3[[#This Row],[ESTIMATED QUANTITY]]</f>
        <v>3850</v>
      </c>
      <c r="J120" s="59">
        <v>18.399999999999999</v>
      </c>
      <c r="K120" s="59">
        <f>Table001__Page_2_3[[#This Row],[UNIT COST  ]]*Table001__Page_2_3[[#This Row],[ESTIMATED QUANTITY]]</f>
        <v>4600</v>
      </c>
      <c r="L120" s="59">
        <v>19</v>
      </c>
      <c r="M120" s="59">
        <f>Table001__Page_2_3[[#This Row],[UNIT COST   ]]*Table001__Page_2_3[[#This Row],[ESTIMATED QUANTITY]]</f>
        <v>4750</v>
      </c>
      <c r="N120" s="14"/>
    </row>
    <row r="121" spans="1:14" x14ac:dyDescent="0.35">
      <c r="A121" s="16">
        <v>108</v>
      </c>
      <c r="B121" s="16" t="s">
        <v>1107</v>
      </c>
      <c r="C121" s="45" t="s">
        <v>1108</v>
      </c>
      <c r="D121" s="16" t="s">
        <v>945</v>
      </c>
      <c r="E121" s="16">
        <v>5</v>
      </c>
      <c r="F121" s="59">
        <v>1500</v>
      </c>
      <c r="G121" s="59">
        <f>Table001__Page_2_3[[#This Row],[ESTIMATED QUANTITY]]*Table001__Page_2_3[[#This Row],[UNIT COST]]</f>
        <v>7500</v>
      </c>
      <c r="H121" s="59">
        <v>1230</v>
      </c>
      <c r="I121" s="59">
        <f>Table001__Page_2_3[[#This Row],[UNIT COST ]]*Table001__Page_2_3[[#This Row],[ESTIMATED QUANTITY]]</f>
        <v>6150</v>
      </c>
      <c r="J121" s="59">
        <v>1470</v>
      </c>
      <c r="K121" s="59">
        <f>Table001__Page_2_3[[#This Row],[UNIT COST  ]]*Table001__Page_2_3[[#This Row],[ESTIMATED QUANTITY]]</f>
        <v>7350</v>
      </c>
      <c r="L121" s="59">
        <v>1600</v>
      </c>
      <c r="M121" s="59">
        <f>Table001__Page_2_3[[#This Row],[UNIT COST   ]]*Table001__Page_2_3[[#This Row],[ESTIMATED QUANTITY]]</f>
        <v>8000</v>
      </c>
      <c r="N121" s="14"/>
    </row>
    <row r="122" spans="1:14" x14ac:dyDescent="0.35">
      <c r="A122" s="16">
        <v>109</v>
      </c>
      <c r="B122" s="16" t="s">
        <v>1109</v>
      </c>
      <c r="C122" s="45" t="s">
        <v>1110</v>
      </c>
      <c r="D122" s="16" t="s">
        <v>942</v>
      </c>
      <c r="E122" s="16">
        <v>1</v>
      </c>
      <c r="F122" s="59">
        <v>6000</v>
      </c>
      <c r="G122" s="59">
        <f>Table001__Page_2_3[[#This Row],[ESTIMATED QUANTITY]]*Table001__Page_2_3[[#This Row],[UNIT COST]]</f>
        <v>6000</v>
      </c>
      <c r="H122" s="59">
        <v>7200</v>
      </c>
      <c r="I122" s="59">
        <f>Table001__Page_2_3[[#This Row],[UNIT COST ]]*Table001__Page_2_3[[#This Row],[ESTIMATED QUANTITY]]</f>
        <v>7200</v>
      </c>
      <c r="J122" s="59">
        <v>8600</v>
      </c>
      <c r="K122" s="59">
        <f>Table001__Page_2_3[[#This Row],[UNIT COST  ]]*Table001__Page_2_3[[#This Row],[ESTIMATED QUANTITY]]</f>
        <v>8600</v>
      </c>
      <c r="L122" s="59">
        <v>8800</v>
      </c>
      <c r="M122" s="59">
        <f>Table001__Page_2_3[[#This Row],[UNIT COST   ]]*Table001__Page_2_3[[#This Row],[ESTIMATED QUANTITY]]</f>
        <v>8800</v>
      </c>
      <c r="N122" s="14"/>
    </row>
    <row r="123" spans="1:14" ht="15" thickBot="1" x14ac:dyDescent="0.4">
      <c r="A123" s="20"/>
      <c r="B123" s="31"/>
      <c r="C123" s="20"/>
      <c r="D123" s="20"/>
      <c r="E123" s="16"/>
      <c r="F123" s="22"/>
      <c r="G123" s="22"/>
      <c r="H123" s="22"/>
      <c r="I123" s="22"/>
      <c r="J123" s="22"/>
      <c r="K123" s="59"/>
      <c r="L123" s="22"/>
      <c r="M123" s="22"/>
      <c r="N123" s="14"/>
    </row>
    <row r="124" spans="1:14" ht="16" thickBot="1" x14ac:dyDescent="0.4">
      <c r="A124" s="21"/>
      <c r="B124" s="29"/>
      <c r="C124" s="21"/>
      <c r="D124" s="178" t="s">
        <v>455</v>
      </c>
      <c r="E124" s="179"/>
      <c r="F124" s="17"/>
      <c r="G124" s="17">
        <f>SUM(G14:G122)</f>
        <v>13778503.5</v>
      </c>
      <c r="H124" s="17"/>
      <c r="I124" s="17">
        <f>SUM(I14:I122)</f>
        <v>12479901.050000001</v>
      </c>
      <c r="J124" s="17"/>
      <c r="K124" s="18">
        <f>SUM(K14:K122)</f>
        <v>13896603.25</v>
      </c>
      <c r="L124" s="17"/>
      <c r="M124" s="17">
        <f>SUM(M14:M122)</f>
        <v>14381238.75</v>
      </c>
      <c r="N124" s="14"/>
    </row>
    <row r="125" spans="1:14" ht="14.5" customHeight="1" x14ac:dyDescent="0.35">
      <c r="A125" s="14"/>
      <c r="B125" s="29"/>
      <c r="C125" s="14"/>
      <c r="D125" s="14"/>
      <c r="E125" s="16"/>
      <c r="F125" s="14"/>
      <c r="G125" s="14"/>
      <c r="H125" s="14"/>
      <c r="I125" s="14"/>
      <c r="J125" s="14"/>
      <c r="K125" s="14"/>
      <c r="L125" s="14"/>
      <c r="M125" s="14"/>
      <c r="N125" s="14"/>
    </row>
    <row r="126" spans="1:14" ht="14.5" customHeight="1" x14ac:dyDescent="0.35">
      <c r="A126" s="14"/>
      <c r="B126" s="29"/>
      <c r="C126" s="14"/>
      <c r="D126" s="188" t="s">
        <v>456</v>
      </c>
      <c r="E126" s="189"/>
      <c r="F126" s="36"/>
      <c r="G126" s="161" t="s">
        <v>457</v>
      </c>
      <c r="H126" s="39"/>
      <c r="I126" s="38">
        <f>I124-G124</f>
        <v>-1298602.4499999993</v>
      </c>
      <c r="J126" s="39"/>
      <c r="K126" s="40">
        <f>K124-G124</f>
        <v>118099.75</v>
      </c>
      <c r="L126" s="36"/>
      <c r="M126" s="38">
        <f>M124-G124</f>
        <v>602735.25</v>
      </c>
      <c r="N126" s="14"/>
    </row>
    <row r="127" spans="1:14" x14ac:dyDescent="0.35">
      <c r="M127" s="35"/>
    </row>
    <row r="128" spans="1:14" x14ac:dyDescent="0.35">
      <c r="A128" s="104"/>
      <c r="E128" s="190" t="s">
        <v>458</v>
      </c>
      <c r="F128" s="191"/>
      <c r="G128" s="37"/>
      <c r="H128" s="41"/>
      <c r="I128" s="102">
        <f>I126/G124</f>
        <v>-9.4248439244508611E-2</v>
      </c>
      <c r="J128" s="41"/>
      <c r="K128" s="103">
        <f>K126/G124</f>
        <v>8.5713045687436235E-3</v>
      </c>
      <c r="L128" s="37"/>
      <c r="M128" s="102">
        <f>M126/G124</f>
        <v>4.3744609129721529E-2</v>
      </c>
    </row>
    <row r="129" spans="1:12" x14ac:dyDescent="0.35">
      <c r="A129" s="104"/>
    </row>
    <row r="136" spans="1:12" x14ac:dyDescent="0.35">
      <c r="L136" s="43"/>
    </row>
  </sheetData>
  <mergeCells count="8">
    <mergeCell ref="E128:F128"/>
    <mergeCell ref="F12:G12"/>
    <mergeCell ref="L12:M12"/>
    <mergeCell ref="H12:I12"/>
    <mergeCell ref="J12:K12"/>
    <mergeCell ref="A12:E12"/>
    <mergeCell ref="D124:E124"/>
    <mergeCell ref="D126:E126"/>
  </mergeCells>
  <phoneticPr fontId="10" type="noConversion"/>
  <pageMargins left="0.7" right="0.7" top="0.75" bottom="0.75" header="0.3" footer="0.3"/>
  <pageSetup orientation="portrait" verticalDpi="0"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6D795-2DC1-4B82-8E3F-65C163E8CA45}">
  <sheetPr codeName="Sheet11"/>
  <dimension ref="A1:M122"/>
  <sheetViews>
    <sheetView zoomScale="80" zoomScaleNormal="80" workbookViewId="0"/>
  </sheetViews>
  <sheetFormatPr defaultRowHeight="14.5" x14ac:dyDescent="0.35"/>
  <cols>
    <col min="1" max="1" width="20.81640625" bestFit="1" customWidth="1"/>
    <col min="2" max="2" width="21.453125" style="32" bestFit="1" customWidth="1"/>
    <col min="3" max="3" width="127.453125" customWidth="1"/>
    <col min="4" max="4" width="10" bestFit="1" customWidth="1"/>
    <col min="5" max="5" width="25.54296875" style="6" bestFit="1" customWidth="1"/>
    <col min="6" max="6" width="15" bestFit="1" customWidth="1"/>
    <col min="7" max="7" width="20.81640625" bestFit="1" customWidth="1"/>
    <col min="8" max="8" width="16" bestFit="1" customWidth="1"/>
    <col min="9" max="9" width="22" bestFit="1" customWidth="1"/>
    <col min="10" max="10" width="16" bestFit="1" customWidth="1"/>
    <col min="11" max="11" width="22" bestFit="1" customWidth="1"/>
    <col min="12" max="12" width="16" bestFit="1" customWidth="1"/>
    <col min="13" max="13" width="22" bestFit="1" customWidth="1"/>
  </cols>
  <sheetData>
    <row r="1" spans="1:13" x14ac:dyDescent="0.35">
      <c r="A1" s="14"/>
      <c r="B1" s="29"/>
      <c r="C1" s="14"/>
      <c r="D1" s="14"/>
      <c r="E1" s="16"/>
      <c r="F1" s="14"/>
      <c r="G1" s="14"/>
      <c r="H1" s="14"/>
      <c r="I1" s="14"/>
      <c r="J1" s="14"/>
      <c r="K1" s="14"/>
      <c r="L1" s="14"/>
      <c r="M1" s="14"/>
    </row>
    <row r="2" spans="1:13" x14ac:dyDescent="0.35">
      <c r="A2" s="14"/>
      <c r="B2" s="29"/>
      <c r="C2" s="14"/>
      <c r="D2" s="14"/>
      <c r="E2" s="16"/>
      <c r="F2" s="14"/>
      <c r="G2" s="14"/>
      <c r="H2" s="14"/>
      <c r="I2" s="14"/>
      <c r="J2" s="14"/>
      <c r="K2" s="14"/>
      <c r="L2" s="14"/>
      <c r="M2" s="14"/>
    </row>
    <row r="3" spans="1:13" ht="15.5" x14ac:dyDescent="0.35">
      <c r="A3" s="15" t="s">
        <v>0</v>
      </c>
      <c r="B3" s="29" t="s">
        <v>325</v>
      </c>
      <c r="C3" s="14"/>
      <c r="D3" s="15"/>
      <c r="E3" s="16"/>
      <c r="F3" s="14"/>
      <c r="G3" s="14"/>
      <c r="H3" s="14"/>
      <c r="I3" s="14"/>
      <c r="J3" s="14"/>
      <c r="K3" s="14"/>
      <c r="L3" s="14"/>
      <c r="M3" s="14"/>
    </row>
    <row r="4" spans="1:13" ht="15.5" x14ac:dyDescent="0.35">
      <c r="A4" s="15" t="s">
        <v>2</v>
      </c>
      <c r="B4" s="29" t="str">
        <f>VLOOKUP($B$3,DATA!$A$2:$E$80,3)</f>
        <v>Union City</v>
      </c>
      <c r="C4" s="14"/>
      <c r="D4" s="15"/>
      <c r="E4" s="16"/>
      <c r="F4" s="14"/>
      <c r="G4" s="14"/>
      <c r="H4" s="14"/>
      <c r="I4" s="14"/>
      <c r="J4" s="14"/>
      <c r="K4" s="14"/>
      <c r="L4" s="14"/>
      <c r="M4" s="14"/>
    </row>
    <row r="5" spans="1:13" ht="15.5" x14ac:dyDescent="0.35">
      <c r="A5" s="15" t="s">
        <v>3</v>
      </c>
      <c r="B5" s="29" t="str">
        <f>VLOOKUP($B$3,DATA!$A$2:$E$80,4)</f>
        <v>Everett-Stewart Regional</v>
      </c>
      <c r="C5" s="14"/>
      <c r="D5" s="15"/>
      <c r="E5" s="16"/>
      <c r="F5" s="14"/>
      <c r="G5" s="14"/>
      <c r="H5" s="14"/>
      <c r="I5" s="14"/>
      <c r="J5" s="14"/>
      <c r="K5" s="14"/>
      <c r="L5" s="14"/>
      <c r="M5" s="14"/>
    </row>
    <row r="6" spans="1:13" ht="15.5" x14ac:dyDescent="0.35">
      <c r="A6" s="15" t="s">
        <v>4</v>
      </c>
      <c r="B6" s="29" t="s">
        <v>373</v>
      </c>
      <c r="C6" s="14"/>
      <c r="D6" s="15"/>
      <c r="E6" s="16"/>
      <c r="F6" s="14"/>
      <c r="G6" s="14"/>
      <c r="H6" s="14"/>
      <c r="I6" s="14"/>
      <c r="J6" s="14"/>
      <c r="K6" s="14"/>
      <c r="L6" s="14"/>
      <c r="M6" s="14"/>
    </row>
    <row r="7" spans="1:13" ht="15.5" x14ac:dyDescent="0.35">
      <c r="A7" s="15" t="s">
        <v>6</v>
      </c>
      <c r="B7" t="s">
        <v>374</v>
      </c>
      <c r="C7" s="14"/>
      <c r="D7" s="15"/>
      <c r="E7" s="16"/>
      <c r="F7" s="14"/>
      <c r="G7" s="14"/>
      <c r="H7" s="14"/>
      <c r="I7" s="14"/>
      <c r="J7" s="14"/>
      <c r="K7" s="14"/>
      <c r="L7" s="14"/>
      <c r="M7" s="14"/>
    </row>
    <row r="8" spans="1:13" ht="15.5" x14ac:dyDescent="0.35">
      <c r="A8" s="15" t="s">
        <v>8</v>
      </c>
      <c r="B8" s="30">
        <v>44938</v>
      </c>
      <c r="C8" s="14"/>
      <c r="D8" s="15"/>
      <c r="E8" s="33"/>
      <c r="F8" s="14"/>
      <c r="G8" s="14"/>
      <c r="H8" s="14"/>
      <c r="I8" s="14"/>
      <c r="J8" s="14"/>
      <c r="K8" s="14"/>
      <c r="L8" s="14"/>
      <c r="M8" s="14"/>
    </row>
    <row r="9" spans="1:13" ht="15.5" x14ac:dyDescent="0.35">
      <c r="A9" s="15" t="s">
        <v>9</v>
      </c>
      <c r="B9" s="29" t="str">
        <f>VLOOKUP($B$3,DATA!$A$2:$E$80,2)</f>
        <v>Obion</v>
      </c>
      <c r="C9" s="14"/>
      <c r="D9" s="15"/>
      <c r="E9" s="16"/>
      <c r="F9" s="14"/>
      <c r="G9" s="14"/>
      <c r="H9" s="14"/>
      <c r="I9" s="14"/>
      <c r="J9" s="14"/>
      <c r="K9" s="14"/>
      <c r="L9" s="14"/>
      <c r="M9" s="14"/>
    </row>
    <row r="10" spans="1:13" ht="15.5" x14ac:dyDescent="0.35">
      <c r="A10" s="15" t="s">
        <v>10</v>
      </c>
      <c r="B10" s="29" t="str">
        <f>VLOOKUP($B$3,DATA!$A$2:$E$80,5)</f>
        <v>West</v>
      </c>
      <c r="C10" s="14"/>
      <c r="D10" s="15"/>
      <c r="E10" s="16"/>
      <c r="F10" s="14"/>
      <c r="G10" s="14"/>
      <c r="H10" s="14"/>
      <c r="I10" s="14"/>
      <c r="J10" s="14"/>
      <c r="K10" s="14"/>
      <c r="L10" s="14"/>
      <c r="M10" s="14"/>
    </row>
    <row r="11" spans="1:13" ht="16" thickBot="1" x14ac:dyDescent="0.4">
      <c r="A11" s="15"/>
      <c r="B11" s="29"/>
      <c r="C11" s="14"/>
      <c r="D11" s="15"/>
      <c r="E11" s="16"/>
      <c r="F11" s="14"/>
      <c r="G11" s="14"/>
      <c r="H11" s="14"/>
      <c r="I11" s="14"/>
      <c r="J11" s="14"/>
      <c r="K11" s="14"/>
      <c r="L11" s="14"/>
      <c r="M11" s="14"/>
    </row>
    <row r="12" spans="1:13" ht="16" thickBot="1" x14ac:dyDescent="0.4">
      <c r="A12" s="173" t="s">
        <v>1111</v>
      </c>
      <c r="B12" s="174"/>
      <c r="C12" s="174"/>
      <c r="D12" s="174"/>
      <c r="E12" s="175"/>
      <c r="F12" s="173" t="s">
        <v>1112</v>
      </c>
      <c r="G12" s="175"/>
      <c r="H12" s="173" t="s">
        <v>12</v>
      </c>
      <c r="I12" s="175"/>
      <c r="J12" s="173" t="s">
        <v>1113</v>
      </c>
      <c r="K12" s="175"/>
      <c r="L12" s="173" t="s">
        <v>1114</v>
      </c>
      <c r="M12" s="175"/>
    </row>
    <row r="13" spans="1:13" x14ac:dyDescent="0.35">
      <c r="A13" s="16" t="s">
        <v>15</v>
      </c>
      <c r="B13" s="23" t="s">
        <v>396</v>
      </c>
      <c r="C13" s="16" t="s">
        <v>17</v>
      </c>
      <c r="D13" s="16" t="s">
        <v>18</v>
      </c>
      <c r="E13" s="16" t="s">
        <v>19</v>
      </c>
      <c r="F13" s="16" t="s">
        <v>20</v>
      </c>
      <c r="G13" s="16" t="s">
        <v>21</v>
      </c>
      <c r="H13" s="16" t="s">
        <v>22</v>
      </c>
      <c r="I13" s="16" t="s">
        <v>23</v>
      </c>
      <c r="J13" s="16" t="s">
        <v>24</v>
      </c>
      <c r="K13" s="16" t="s">
        <v>25</v>
      </c>
      <c r="L13" s="16" t="s">
        <v>581</v>
      </c>
      <c r="M13" s="16" t="s">
        <v>582</v>
      </c>
    </row>
    <row r="14" spans="1:13" x14ac:dyDescent="0.35">
      <c r="A14" s="46">
        <v>1</v>
      </c>
      <c r="B14" s="23" t="s">
        <v>525</v>
      </c>
      <c r="C14" s="45" t="s">
        <v>526</v>
      </c>
      <c r="D14" s="63" t="s">
        <v>28</v>
      </c>
      <c r="E14" s="46">
        <v>1</v>
      </c>
      <c r="F14" s="76" t="s">
        <v>727</v>
      </c>
      <c r="G14" s="76" t="s">
        <v>1115</v>
      </c>
      <c r="H14" s="78">
        <v>2500</v>
      </c>
      <c r="I14" s="59">
        <v>2500</v>
      </c>
      <c r="J14" s="59">
        <v>26000</v>
      </c>
      <c r="K14" s="59">
        <v>26000</v>
      </c>
      <c r="L14" s="59">
        <v>4000</v>
      </c>
      <c r="M14" s="59">
        <v>4000</v>
      </c>
    </row>
    <row r="15" spans="1:13" x14ac:dyDescent="0.35">
      <c r="A15" s="46">
        <v>2</v>
      </c>
      <c r="B15" s="23" t="s">
        <v>912</v>
      </c>
      <c r="C15" s="45" t="s">
        <v>913</v>
      </c>
      <c r="D15" s="68" t="s">
        <v>425</v>
      </c>
      <c r="E15" s="46">
        <v>1</v>
      </c>
      <c r="F15" s="77">
        <v>850</v>
      </c>
      <c r="G15" s="77">
        <v>850</v>
      </c>
      <c r="H15" s="78">
        <v>2500</v>
      </c>
      <c r="I15" s="59">
        <v>2500</v>
      </c>
      <c r="J15" s="59">
        <v>1850</v>
      </c>
      <c r="K15" s="59">
        <v>1850</v>
      </c>
      <c r="L15" s="59">
        <v>1000</v>
      </c>
      <c r="M15" s="59">
        <v>1000</v>
      </c>
    </row>
    <row r="16" spans="1:13" x14ac:dyDescent="0.35">
      <c r="A16" s="46">
        <v>3</v>
      </c>
      <c r="B16" s="23" t="s">
        <v>914</v>
      </c>
      <c r="C16" s="45" t="s">
        <v>480</v>
      </c>
      <c r="D16" s="63" t="s">
        <v>407</v>
      </c>
      <c r="E16" s="46">
        <v>200</v>
      </c>
      <c r="F16" s="77">
        <v>11</v>
      </c>
      <c r="G16" s="78">
        <v>2200</v>
      </c>
      <c r="H16" s="77">
        <v>5</v>
      </c>
      <c r="I16" s="59">
        <v>1000</v>
      </c>
      <c r="J16" s="59">
        <v>4.75</v>
      </c>
      <c r="K16" s="59">
        <v>950</v>
      </c>
      <c r="L16" s="59">
        <v>10</v>
      </c>
      <c r="M16" s="59">
        <v>2000</v>
      </c>
    </row>
    <row r="17" spans="1:13" x14ac:dyDescent="0.35">
      <c r="A17" s="46">
        <v>4</v>
      </c>
      <c r="B17" s="23" t="s">
        <v>915</v>
      </c>
      <c r="C17" s="45" t="s">
        <v>916</v>
      </c>
      <c r="D17" s="68" t="s">
        <v>478</v>
      </c>
      <c r="E17" s="46">
        <v>2</v>
      </c>
      <c r="F17" s="76" t="s">
        <v>727</v>
      </c>
      <c r="G17" s="76" t="s">
        <v>1115</v>
      </c>
      <c r="H17" s="77">
        <v>750</v>
      </c>
      <c r="I17" s="59">
        <v>1500</v>
      </c>
      <c r="J17" s="59">
        <v>1000</v>
      </c>
      <c r="K17" s="59">
        <v>2000</v>
      </c>
      <c r="L17" s="59">
        <v>500</v>
      </c>
      <c r="M17" s="59">
        <v>1000</v>
      </c>
    </row>
    <row r="18" spans="1:13" x14ac:dyDescent="0.35">
      <c r="A18" s="46">
        <v>5</v>
      </c>
      <c r="B18" s="23" t="s">
        <v>917</v>
      </c>
      <c r="C18" s="45" t="s">
        <v>1116</v>
      </c>
      <c r="D18" s="63" t="s">
        <v>478</v>
      </c>
      <c r="E18" s="46">
        <v>3</v>
      </c>
      <c r="F18" s="76" t="s">
        <v>727</v>
      </c>
      <c r="G18" s="76" t="s">
        <v>1115</v>
      </c>
      <c r="H18" s="77">
        <v>750</v>
      </c>
      <c r="I18" s="59">
        <v>2250</v>
      </c>
      <c r="J18" s="59">
        <v>850</v>
      </c>
      <c r="K18" s="59">
        <v>2550</v>
      </c>
      <c r="L18" s="59">
        <v>800</v>
      </c>
      <c r="M18" s="59">
        <v>2400</v>
      </c>
    </row>
    <row r="19" spans="1:13" x14ac:dyDescent="0.35">
      <c r="A19" s="46">
        <v>6</v>
      </c>
      <c r="B19" s="23" t="s">
        <v>483</v>
      </c>
      <c r="C19" s="45" t="s">
        <v>484</v>
      </c>
      <c r="D19" s="68" t="s">
        <v>28</v>
      </c>
      <c r="E19" s="46">
        <v>1</v>
      </c>
      <c r="F19" s="76" t="s">
        <v>727</v>
      </c>
      <c r="G19" s="76" t="s">
        <v>1115</v>
      </c>
      <c r="H19" s="78">
        <v>16900</v>
      </c>
      <c r="I19" s="59">
        <v>16900</v>
      </c>
      <c r="J19" s="59">
        <v>25000</v>
      </c>
      <c r="K19" s="59">
        <v>25000</v>
      </c>
      <c r="L19" s="59">
        <v>20000</v>
      </c>
      <c r="M19" s="59">
        <v>20000</v>
      </c>
    </row>
    <row r="20" spans="1:13" x14ac:dyDescent="0.35">
      <c r="A20" s="46">
        <v>7</v>
      </c>
      <c r="B20" s="23" t="s">
        <v>1117</v>
      </c>
      <c r="C20" s="45" t="s">
        <v>1118</v>
      </c>
      <c r="D20" s="63" t="s">
        <v>407</v>
      </c>
      <c r="E20" s="46">
        <v>216</v>
      </c>
      <c r="F20" s="76" t="s">
        <v>727</v>
      </c>
      <c r="G20" s="76" t="s">
        <v>1115</v>
      </c>
      <c r="H20" s="77">
        <v>50</v>
      </c>
      <c r="I20" s="59">
        <v>10800</v>
      </c>
      <c r="J20" s="59">
        <v>21</v>
      </c>
      <c r="K20" s="59">
        <v>4536</v>
      </c>
      <c r="L20" s="59">
        <v>28</v>
      </c>
      <c r="M20" s="59">
        <v>6048</v>
      </c>
    </row>
    <row r="21" spans="1:13" x14ac:dyDescent="0.35">
      <c r="A21" s="46">
        <v>8</v>
      </c>
      <c r="B21" s="23" t="s">
        <v>502</v>
      </c>
      <c r="C21" s="45" t="s">
        <v>427</v>
      </c>
      <c r="D21" s="68" t="s">
        <v>428</v>
      </c>
      <c r="E21" s="46">
        <v>530</v>
      </c>
      <c r="F21" s="77">
        <v>14.3</v>
      </c>
      <c r="G21" s="78">
        <v>7579</v>
      </c>
      <c r="H21" s="77">
        <v>20</v>
      </c>
      <c r="I21" s="59">
        <v>10600</v>
      </c>
      <c r="J21" s="59">
        <v>25</v>
      </c>
      <c r="K21" s="59">
        <v>13250</v>
      </c>
      <c r="L21" s="59">
        <v>45</v>
      </c>
      <c r="M21" s="59">
        <v>23850</v>
      </c>
    </row>
    <row r="22" spans="1:13" x14ac:dyDescent="0.35">
      <c r="A22" s="46">
        <v>9</v>
      </c>
      <c r="B22" s="23" t="s">
        <v>775</v>
      </c>
      <c r="C22" s="45" t="s">
        <v>1119</v>
      </c>
      <c r="D22" s="63" t="s">
        <v>428</v>
      </c>
      <c r="E22" s="46">
        <v>650</v>
      </c>
      <c r="F22" s="77">
        <v>25</v>
      </c>
      <c r="G22" s="78">
        <v>16250</v>
      </c>
      <c r="H22" s="77">
        <v>25</v>
      </c>
      <c r="I22" s="59">
        <v>16250</v>
      </c>
      <c r="J22" s="59">
        <v>39</v>
      </c>
      <c r="K22" s="59">
        <v>25350</v>
      </c>
      <c r="L22" s="59">
        <v>45</v>
      </c>
      <c r="M22" s="59">
        <v>29250</v>
      </c>
    </row>
    <row r="23" spans="1:13" x14ac:dyDescent="0.35">
      <c r="A23" s="46">
        <v>10</v>
      </c>
      <c r="B23" s="23" t="s">
        <v>1120</v>
      </c>
      <c r="C23" s="45" t="s">
        <v>1121</v>
      </c>
      <c r="D23" s="68" t="s">
        <v>412</v>
      </c>
      <c r="E23" s="46">
        <v>925</v>
      </c>
      <c r="F23" s="77">
        <v>23.92</v>
      </c>
      <c r="G23" s="78">
        <v>22126</v>
      </c>
      <c r="H23" s="77">
        <v>25</v>
      </c>
      <c r="I23" s="59">
        <v>23125</v>
      </c>
      <c r="J23" s="59">
        <v>35</v>
      </c>
      <c r="K23" s="59">
        <v>32375</v>
      </c>
      <c r="L23" s="59">
        <v>59</v>
      </c>
      <c r="M23" s="59">
        <v>54575</v>
      </c>
    </row>
    <row r="24" spans="1:13" x14ac:dyDescent="0.35">
      <c r="A24" s="46">
        <v>11</v>
      </c>
      <c r="B24" s="23" t="s">
        <v>824</v>
      </c>
      <c r="C24" s="45" t="s">
        <v>1122</v>
      </c>
      <c r="D24" s="63" t="s">
        <v>412</v>
      </c>
      <c r="E24" s="46">
        <v>935</v>
      </c>
      <c r="F24" s="77">
        <v>23.1</v>
      </c>
      <c r="G24" s="78">
        <v>21598.5</v>
      </c>
      <c r="H24" s="77">
        <v>30</v>
      </c>
      <c r="I24" s="59">
        <v>28050</v>
      </c>
      <c r="J24" s="59">
        <v>32</v>
      </c>
      <c r="K24" s="59">
        <v>29920</v>
      </c>
      <c r="L24" s="59">
        <v>28</v>
      </c>
      <c r="M24" s="59">
        <v>26180</v>
      </c>
    </row>
    <row r="25" spans="1:13" x14ac:dyDescent="0.35">
      <c r="A25" s="46">
        <v>12</v>
      </c>
      <c r="B25" s="23" t="s">
        <v>826</v>
      </c>
      <c r="C25" s="45" t="s">
        <v>1123</v>
      </c>
      <c r="D25" s="68" t="s">
        <v>566</v>
      </c>
      <c r="E25" s="46">
        <v>135</v>
      </c>
      <c r="F25" s="77">
        <v>192.5</v>
      </c>
      <c r="G25" s="78">
        <v>25987.5</v>
      </c>
      <c r="H25" s="77">
        <v>200</v>
      </c>
      <c r="I25" s="59">
        <v>27000</v>
      </c>
      <c r="J25" s="59">
        <v>245</v>
      </c>
      <c r="K25" s="59">
        <v>33075</v>
      </c>
      <c r="L25" s="59">
        <v>200</v>
      </c>
      <c r="M25" s="59">
        <v>27000</v>
      </c>
    </row>
    <row r="26" spans="1:13" x14ac:dyDescent="0.35">
      <c r="A26" s="46">
        <v>13</v>
      </c>
      <c r="B26" s="23" t="s">
        <v>1124</v>
      </c>
      <c r="C26" s="45" t="s">
        <v>922</v>
      </c>
      <c r="D26" s="63" t="s">
        <v>446</v>
      </c>
      <c r="E26" s="46">
        <v>265</v>
      </c>
      <c r="F26" s="77">
        <v>8.8000000000000007</v>
      </c>
      <c r="G26" s="78">
        <v>2332</v>
      </c>
      <c r="H26" s="77">
        <v>10</v>
      </c>
      <c r="I26" s="59">
        <v>2650</v>
      </c>
      <c r="J26" s="59">
        <v>6</v>
      </c>
      <c r="K26" s="59">
        <v>1590</v>
      </c>
      <c r="L26" s="59">
        <v>4</v>
      </c>
      <c r="M26" s="59">
        <v>1060</v>
      </c>
    </row>
    <row r="27" spans="1:13" x14ac:dyDescent="0.35">
      <c r="A27" s="46">
        <v>14</v>
      </c>
      <c r="B27" s="23" t="s">
        <v>504</v>
      </c>
      <c r="C27" s="45" t="s">
        <v>505</v>
      </c>
      <c r="D27" s="68" t="s">
        <v>425</v>
      </c>
      <c r="E27" s="46">
        <v>1</v>
      </c>
      <c r="F27" s="77">
        <v>500</v>
      </c>
      <c r="G27" s="77">
        <v>500</v>
      </c>
      <c r="H27" s="78">
        <v>1500</v>
      </c>
      <c r="I27" s="59">
        <v>1500</v>
      </c>
      <c r="J27" s="59">
        <v>2625</v>
      </c>
      <c r="K27" s="59">
        <v>2625</v>
      </c>
      <c r="L27" s="59">
        <v>2500</v>
      </c>
      <c r="M27" s="59">
        <v>2500</v>
      </c>
    </row>
    <row r="28" spans="1:13" x14ac:dyDescent="0.35">
      <c r="A28" s="46">
        <v>15</v>
      </c>
      <c r="B28" s="23" t="s">
        <v>549</v>
      </c>
      <c r="C28" s="45" t="s">
        <v>550</v>
      </c>
      <c r="D28" s="63" t="s">
        <v>412</v>
      </c>
      <c r="E28" s="46">
        <v>130</v>
      </c>
      <c r="F28" s="77">
        <v>3.5</v>
      </c>
      <c r="G28" s="77">
        <v>455</v>
      </c>
      <c r="H28" s="77">
        <v>7</v>
      </c>
      <c r="I28" s="59">
        <v>910</v>
      </c>
      <c r="J28" s="59">
        <v>6</v>
      </c>
      <c r="K28" s="59">
        <v>780</v>
      </c>
      <c r="L28" s="59">
        <v>20</v>
      </c>
      <c r="M28" s="59">
        <v>2600</v>
      </c>
    </row>
    <row r="29" spans="1:13" x14ac:dyDescent="0.35">
      <c r="A29" s="46">
        <v>16</v>
      </c>
      <c r="B29" s="23" t="s">
        <v>551</v>
      </c>
      <c r="C29" s="45" t="s">
        <v>822</v>
      </c>
      <c r="D29" s="68" t="s">
        <v>428</v>
      </c>
      <c r="E29" s="46">
        <v>200</v>
      </c>
      <c r="F29" s="77">
        <v>27.5</v>
      </c>
      <c r="G29" s="78">
        <v>5500</v>
      </c>
      <c r="H29" s="77">
        <v>25</v>
      </c>
      <c r="I29" s="59">
        <v>5000</v>
      </c>
      <c r="J29" s="59">
        <v>5.25</v>
      </c>
      <c r="K29" s="59">
        <v>1050</v>
      </c>
      <c r="L29" s="59">
        <v>20</v>
      </c>
      <c r="M29" s="59">
        <v>4000</v>
      </c>
    </row>
    <row r="30" spans="1:13" x14ac:dyDescent="0.35">
      <c r="A30" s="46">
        <v>17</v>
      </c>
      <c r="B30" s="79">
        <v>2722</v>
      </c>
      <c r="C30" s="45" t="s">
        <v>1125</v>
      </c>
      <c r="D30" s="63" t="s">
        <v>478</v>
      </c>
      <c r="E30" s="46">
        <v>1</v>
      </c>
      <c r="F30" s="78">
        <v>8536</v>
      </c>
      <c r="G30" s="78">
        <v>8536</v>
      </c>
      <c r="H30" s="78">
        <v>10000</v>
      </c>
      <c r="I30" s="59">
        <v>10000</v>
      </c>
      <c r="J30" s="59">
        <v>20100</v>
      </c>
      <c r="K30" s="59">
        <v>20100</v>
      </c>
      <c r="L30" s="59">
        <v>18000</v>
      </c>
      <c r="M30" s="59">
        <v>18000</v>
      </c>
    </row>
    <row r="31" spans="1:13" x14ac:dyDescent="0.35">
      <c r="A31" s="46">
        <v>18</v>
      </c>
      <c r="B31" s="23" t="s">
        <v>754</v>
      </c>
      <c r="C31" s="45" t="s">
        <v>935</v>
      </c>
      <c r="D31" s="68" t="s">
        <v>478</v>
      </c>
      <c r="E31" s="46">
        <v>6</v>
      </c>
      <c r="F31" s="77">
        <v>150</v>
      </c>
      <c r="G31" s="77">
        <v>900</v>
      </c>
      <c r="H31" s="77">
        <v>200</v>
      </c>
      <c r="I31" s="59">
        <v>1200</v>
      </c>
      <c r="J31" s="59">
        <v>100</v>
      </c>
      <c r="K31" s="59">
        <v>600</v>
      </c>
      <c r="L31" s="59">
        <v>100</v>
      </c>
      <c r="M31" s="59">
        <v>600</v>
      </c>
    </row>
    <row r="32" spans="1:13" x14ac:dyDescent="0.35">
      <c r="A32" s="46">
        <v>19</v>
      </c>
      <c r="B32" s="23" t="s">
        <v>754</v>
      </c>
      <c r="C32" s="45" t="s">
        <v>1126</v>
      </c>
      <c r="D32" s="63" t="s">
        <v>545</v>
      </c>
      <c r="E32" s="46">
        <v>150</v>
      </c>
      <c r="F32" s="77">
        <v>7</v>
      </c>
      <c r="G32" s="78">
        <v>1050</v>
      </c>
      <c r="H32" s="77">
        <v>7.5</v>
      </c>
      <c r="I32" s="59">
        <v>1125</v>
      </c>
      <c r="J32" s="59">
        <v>36</v>
      </c>
      <c r="K32" s="59">
        <v>5400</v>
      </c>
      <c r="L32" s="59">
        <v>10</v>
      </c>
      <c r="M32" s="59">
        <v>1500</v>
      </c>
    </row>
    <row r="33" spans="1:13" x14ac:dyDescent="0.35">
      <c r="A33" s="46">
        <v>20</v>
      </c>
      <c r="B33" s="23" t="s">
        <v>754</v>
      </c>
      <c r="C33" s="45" t="s">
        <v>1127</v>
      </c>
      <c r="D33" s="68" t="s">
        <v>28</v>
      </c>
      <c r="E33" s="46">
        <v>1</v>
      </c>
      <c r="F33" s="78">
        <v>2750</v>
      </c>
      <c r="G33" s="78">
        <v>2750</v>
      </c>
      <c r="H33" s="78">
        <v>3000</v>
      </c>
      <c r="I33" s="59">
        <v>3000</v>
      </c>
      <c r="J33" s="59">
        <v>220</v>
      </c>
      <c r="K33" s="59">
        <v>220</v>
      </c>
      <c r="L33" s="59">
        <v>1000</v>
      </c>
      <c r="M33" s="59">
        <v>1000</v>
      </c>
    </row>
    <row r="34" spans="1:13" x14ac:dyDescent="0.35">
      <c r="A34" s="46">
        <v>21</v>
      </c>
      <c r="B34" s="23" t="s">
        <v>754</v>
      </c>
      <c r="C34" s="45" t="s">
        <v>1128</v>
      </c>
      <c r="D34" s="63" t="s">
        <v>28</v>
      </c>
      <c r="E34" s="46">
        <v>1</v>
      </c>
      <c r="F34" s="76" t="s">
        <v>727</v>
      </c>
      <c r="G34" s="76" t="s">
        <v>1115</v>
      </c>
      <c r="H34" s="78">
        <v>10000</v>
      </c>
      <c r="I34" s="59">
        <v>10000</v>
      </c>
      <c r="J34" s="59">
        <v>14000</v>
      </c>
      <c r="K34" s="59">
        <v>14000</v>
      </c>
      <c r="L34" s="59">
        <v>17000</v>
      </c>
      <c r="M34" s="59">
        <v>17000</v>
      </c>
    </row>
    <row r="35" spans="1:13" x14ac:dyDescent="0.35">
      <c r="A35" s="46">
        <v>22</v>
      </c>
      <c r="B35" s="23" t="s">
        <v>754</v>
      </c>
      <c r="C35" s="45" t="s">
        <v>1129</v>
      </c>
      <c r="D35" s="68" t="s">
        <v>28</v>
      </c>
      <c r="E35" s="46">
        <v>1</v>
      </c>
      <c r="F35" s="76" t="s">
        <v>727</v>
      </c>
      <c r="G35" s="76" t="s">
        <v>1115</v>
      </c>
      <c r="H35" s="78">
        <v>5000</v>
      </c>
      <c r="I35" s="59">
        <v>5000</v>
      </c>
      <c r="J35" s="59">
        <v>8000</v>
      </c>
      <c r="K35" s="59">
        <v>8000</v>
      </c>
      <c r="L35" s="59">
        <v>6000</v>
      </c>
      <c r="M35" s="59">
        <v>6000</v>
      </c>
    </row>
    <row r="36" spans="1:13" x14ac:dyDescent="0.35">
      <c r="A36" s="46">
        <v>23</v>
      </c>
      <c r="B36" s="23" t="s">
        <v>754</v>
      </c>
      <c r="C36" s="45" t="s">
        <v>1130</v>
      </c>
      <c r="D36" s="63" t="s">
        <v>478</v>
      </c>
      <c r="E36" s="46">
        <v>1</v>
      </c>
      <c r="F36" s="76" t="s">
        <v>727</v>
      </c>
      <c r="G36" s="76" t="s">
        <v>1115</v>
      </c>
      <c r="H36" s="77">
        <v>500</v>
      </c>
      <c r="I36" s="59">
        <v>500</v>
      </c>
      <c r="J36" s="59">
        <v>2200</v>
      </c>
      <c r="K36" s="59">
        <v>2200</v>
      </c>
      <c r="L36" s="59">
        <v>1000</v>
      </c>
      <c r="M36" s="59">
        <v>1000</v>
      </c>
    </row>
    <row r="37" spans="1:13" ht="15" thickBot="1" x14ac:dyDescent="0.4">
      <c r="A37" s="46">
        <v>24</v>
      </c>
      <c r="B37" s="23" t="s">
        <v>754</v>
      </c>
      <c r="C37" s="45" t="s">
        <v>1131</v>
      </c>
      <c r="D37" s="68" t="s">
        <v>28</v>
      </c>
      <c r="E37" s="46">
        <v>1</v>
      </c>
      <c r="F37" s="76" t="s">
        <v>727</v>
      </c>
      <c r="G37" s="76" t="s">
        <v>1115</v>
      </c>
      <c r="H37" s="78">
        <v>3000</v>
      </c>
      <c r="I37" s="59">
        <v>3000</v>
      </c>
      <c r="J37" s="59">
        <v>5800</v>
      </c>
      <c r="K37" s="59">
        <v>5800</v>
      </c>
      <c r="L37" s="59">
        <v>3200</v>
      </c>
      <c r="M37" s="59">
        <v>3200</v>
      </c>
    </row>
    <row r="38" spans="1:13" ht="14.5" customHeight="1" thickBot="1" x14ac:dyDescent="0.4">
      <c r="A38" s="21"/>
      <c r="B38" s="29"/>
      <c r="C38" s="21"/>
      <c r="D38" s="178" t="s">
        <v>510</v>
      </c>
      <c r="E38" s="179"/>
      <c r="F38" s="17"/>
      <c r="G38" s="17">
        <f>SUM(Table001__Page_2_315[EXTENDED TOTAL])</f>
        <v>118614</v>
      </c>
      <c r="H38" s="17"/>
      <c r="I38" s="17">
        <f>SUM(Table001__Page_2_315[EXTENDED TOTAL2])</f>
        <v>186360</v>
      </c>
      <c r="J38" s="17"/>
      <c r="K38" s="17">
        <f>SUM(Table001__Page_2_315[EXTENDED TOTAL3])</f>
        <v>259221</v>
      </c>
      <c r="L38" s="17"/>
      <c r="M38" s="18">
        <f>SUM(Table001__Page_2_315[EXTENDED TOTAL4])</f>
        <v>255763</v>
      </c>
    </row>
    <row r="39" spans="1:13" ht="14.5" customHeight="1" x14ac:dyDescent="0.35">
      <c r="A39" s="14"/>
      <c r="B39" s="29"/>
      <c r="C39" s="14"/>
      <c r="D39" s="14"/>
      <c r="E39" s="16"/>
      <c r="F39" s="14"/>
      <c r="G39" s="14"/>
      <c r="H39" s="14"/>
      <c r="I39" s="14"/>
      <c r="J39" s="14"/>
      <c r="K39" s="14"/>
      <c r="L39" s="14"/>
      <c r="M39" s="14"/>
    </row>
    <row r="40" spans="1:13" hidden="1" x14ac:dyDescent="0.35">
      <c r="A40" s="14"/>
      <c r="B40" s="29"/>
      <c r="C40" s="14"/>
      <c r="D40" s="188" t="s">
        <v>456</v>
      </c>
      <c r="E40" s="189"/>
      <c r="F40" s="36"/>
      <c r="G40" s="161" t="s">
        <v>457</v>
      </c>
      <c r="H40" s="36"/>
      <c r="I40" s="38">
        <f>SUM(I38-G38)</f>
        <v>67746</v>
      </c>
      <c r="J40" s="39"/>
      <c r="K40" s="38">
        <f>SUM(K38-G38)</f>
        <v>140607</v>
      </c>
      <c r="L40" s="39"/>
      <c r="M40" s="40">
        <f>SUM(M38-G38)</f>
        <v>137149</v>
      </c>
    </row>
    <row r="41" spans="1:13" hidden="1" x14ac:dyDescent="0.35">
      <c r="I41" s="35"/>
    </row>
    <row r="42" spans="1:13" hidden="1" x14ac:dyDescent="0.35">
      <c r="E42" s="190" t="s">
        <v>458</v>
      </c>
      <c r="F42" s="191"/>
      <c r="G42" s="37"/>
      <c r="H42" s="37"/>
      <c r="I42" s="41">
        <f>I40/G38</f>
        <v>0.57114674490363704</v>
      </c>
      <c r="J42" s="41"/>
      <c r="K42" s="41">
        <f>K40/G38</f>
        <v>1.1854165612828165</v>
      </c>
      <c r="L42" s="41"/>
      <c r="M42" s="42">
        <f>M40/G38</f>
        <v>1.1562631729812669</v>
      </c>
    </row>
    <row r="50" spans="8:8" x14ac:dyDescent="0.35">
      <c r="H50" s="43"/>
    </row>
    <row r="121" ht="14.5" customHeight="1" x14ac:dyDescent="0.35"/>
    <row r="122" ht="14.5" customHeight="1" x14ac:dyDescent="0.35"/>
  </sheetData>
  <mergeCells count="8">
    <mergeCell ref="J12:K12"/>
    <mergeCell ref="L12:M12"/>
    <mergeCell ref="D38:E38"/>
    <mergeCell ref="D40:E40"/>
    <mergeCell ref="E42:F42"/>
    <mergeCell ref="A12:E12"/>
    <mergeCell ref="F12:G12"/>
    <mergeCell ref="H12:I12"/>
  </mergeCells>
  <phoneticPr fontId="10" type="noConversion"/>
  <pageMargins left="0.7" right="0.7" top="0.75" bottom="0.75" header="0.3" footer="0.3"/>
  <pageSetup orientation="portrait" verticalDpi="0"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1CC89-04E0-4B85-BCB5-BF6A9E5CE699}">
  <sheetPr codeName="Sheet12"/>
  <dimension ref="A1:M121"/>
  <sheetViews>
    <sheetView topLeftCell="A60" zoomScale="70" zoomScaleNormal="70" workbookViewId="0"/>
  </sheetViews>
  <sheetFormatPr defaultRowHeight="14.5" x14ac:dyDescent="0.35"/>
  <cols>
    <col min="1" max="1" width="20.81640625" bestFit="1" customWidth="1"/>
    <col min="2" max="2" width="21.453125" style="32" bestFit="1" customWidth="1"/>
    <col min="3" max="3" width="127.453125" customWidth="1"/>
    <col min="4" max="4" width="10" bestFit="1" customWidth="1"/>
    <col min="5" max="5" width="25.54296875" style="6" bestFit="1" customWidth="1"/>
    <col min="6" max="6" width="15" bestFit="1" customWidth="1"/>
    <col min="7" max="7" width="20.81640625" bestFit="1" customWidth="1"/>
    <col min="8" max="8" width="16" bestFit="1" customWidth="1"/>
    <col min="9" max="9" width="22" bestFit="1" customWidth="1"/>
    <col min="10" max="10" width="16" bestFit="1" customWidth="1"/>
    <col min="11" max="11" width="22" bestFit="1" customWidth="1"/>
    <col min="12" max="12" width="16" bestFit="1" customWidth="1"/>
    <col min="13" max="13" width="22" bestFit="1" customWidth="1"/>
  </cols>
  <sheetData>
    <row r="1" spans="1:13" x14ac:dyDescent="0.35">
      <c r="A1" s="14"/>
      <c r="B1" s="29"/>
      <c r="C1" s="14"/>
      <c r="D1" s="14"/>
      <c r="E1" s="16"/>
      <c r="F1" s="14"/>
      <c r="G1" s="14"/>
      <c r="H1" s="14"/>
      <c r="I1" s="14"/>
      <c r="J1" s="14"/>
      <c r="K1" s="14"/>
      <c r="L1" s="14"/>
      <c r="M1" s="14"/>
    </row>
    <row r="2" spans="1:13" x14ac:dyDescent="0.35">
      <c r="A2" s="14"/>
      <c r="B2" s="29"/>
      <c r="C2" s="14"/>
      <c r="D2" s="14"/>
      <c r="E2" s="16"/>
      <c r="F2" s="14"/>
      <c r="G2" s="14"/>
      <c r="H2" s="14"/>
      <c r="I2" s="14"/>
      <c r="J2" s="14"/>
      <c r="K2" s="14"/>
      <c r="L2" s="14"/>
      <c r="M2" s="14"/>
    </row>
    <row r="3" spans="1:13" ht="15.5" x14ac:dyDescent="0.35">
      <c r="A3" s="15" t="s">
        <v>0</v>
      </c>
      <c r="B3" s="29" t="s">
        <v>332</v>
      </c>
      <c r="C3" s="14"/>
      <c r="D3" s="15"/>
      <c r="E3" s="16"/>
      <c r="F3" s="14"/>
      <c r="G3" s="14"/>
      <c r="H3" s="14"/>
      <c r="I3" s="14"/>
      <c r="J3" s="14"/>
      <c r="K3" s="14"/>
      <c r="L3" s="14"/>
      <c r="M3" s="14"/>
    </row>
    <row r="4" spans="1:13" ht="15.5" x14ac:dyDescent="0.35">
      <c r="A4" s="15" t="s">
        <v>2</v>
      </c>
      <c r="B4" s="29" t="str">
        <f>VLOOKUP($B$3,DATA!$A$2:$E$80,3)</f>
        <v>Gallatin</v>
      </c>
      <c r="C4" s="14"/>
      <c r="D4" s="15"/>
      <c r="E4" s="16"/>
      <c r="F4" s="14"/>
      <c r="G4" s="14"/>
      <c r="H4" s="14"/>
      <c r="I4" s="14"/>
      <c r="J4" s="14"/>
      <c r="K4" s="14"/>
      <c r="L4" s="14"/>
      <c r="M4" s="14"/>
    </row>
    <row r="5" spans="1:13" ht="15.5" x14ac:dyDescent="0.35">
      <c r="A5" s="15" t="s">
        <v>3</v>
      </c>
      <c r="B5" s="29" t="str">
        <f>VLOOKUP($B$3,DATA!$A$2:$E$80,4)</f>
        <v>Music City Executive</v>
      </c>
      <c r="C5" s="14"/>
      <c r="D5" s="15"/>
      <c r="E5" s="16"/>
      <c r="F5" s="14"/>
      <c r="G5" s="14"/>
      <c r="H5" s="14"/>
      <c r="I5" s="14"/>
      <c r="J5" s="14"/>
      <c r="K5" s="14"/>
      <c r="L5" s="14"/>
      <c r="M5" s="14"/>
    </row>
    <row r="6" spans="1:13" ht="15.5" x14ac:dyDescent="0.35">
      <c r="A6" s="15" t="s">
        <v>4</v>
      </c>
      <c r="B6" s="29" t="s">
        <v>377</v>
      </c>
      <c r="C6" s="14"/>
      <c r="D6" s="15"/>
      <c r="E6" s="16"/>
      <c r="F6" s="14"/>
      <c r="G6" s="14"/>
      <c r="H6" s="14"/>
      <c r="I6" s="14"/>
      <c r="J6" s="14"/>
      <c r="K6" s="14"/>
      <c r="L6" s="14"/>
      <c r="M6" s="14"/>
    </row>
    <row r="7" spans="1:13" ht="15.5" x14ac:dyDescent="0.35">
      <c r="A7" s="15" t="s">
        <v>6</v>
      </c>
      <c r="B7" s="153" t="s">
        <v>378</v>
      </c>
      <c r="C7" s="14"/>
      <c r="D7" s="15"/>
      <c r="E7" s="16"/>
      <c r="F7" s="14"/>
      <c r="G7" s="14"/>
      <c r="H7" s="14"/>
      <c r="I7" s="14"/>
      <c r="J7" s="14"/>
      <c r="K7" s="14"/>
      <c r="L7" s="14"/>
      <c r="M7" s="14"/>
    </row>
    <row r="8" spans="1:13" ht="15.5" x14ac:dyDescent="0.35">
      <c r="A8" s="15" t="s">
        <v>8</v>
      </c>
      <c r="B8" s="30">
        <v>45022</v>
      </c>
      <c r="C8" s="14"/>
      <c r="D8" s="15"/>
      <c r="E8" s="33"/>
      <c r="F8" s="14"/>
      <c r="G8" s="14"/>
      <c r="H8" s="14"/>
      <c r="I8" s="14"/>
      <c r="J8" s="14"/>
      <c r="K8" s="14"/>
      <c r="L8" s="14"/>
      <c r="M8" s="14"/>
    </row>
    <row r="9" spans="1:13" ht="15.5" x14ac:dyDescent="0.35">
      <c r="A9" s="15" t="s">
        <v>9</v>
      </c>
      <c r="B9" s="29" t="str">
        <f>VLOOKUP($B$3,DATA!$A$2:$E$80,2)</f>
        <v>Sumner</v>
      </c>
      <c r="C9" s="14"/>
      <c r="D9" s="15"/>
      <c r="E9" s="16"/>
      <c r="F9" s="14"/>
      <c r="G9" s="14"/>
      <c r="H9" s="14"/>
      <c r="I9" s="14"/>
      <c r="J9" s="14"/>
      <c r="K9" s="14"/>
      <c r="L9" s="14"/>
      <c r="M9" s="14"/>
    </row>
    <row r="10" spans="1:13" ht="15.5" x14ac:dyDescent="0.35">
      <c r="A10" s="15" t="s">
        <v>10</v>
      </c>
      <c r="B10" s="29" t="str">
        <f>VLOOKUP($B$3,DATA!$A$2:$E$80,5)</f>
        <v>Middle</v>
      </c>
      <c r="C10" s="14"/>
      <c r="D10" s="15"/>
      <c r="E10" s="16"/>
      <c r="F10" s="14"/>
      <c r="G10" s="14"/>
      <c r="H10" s="14"/>
      <c r="I10" s="14"/>
      <c r="J10" s="14"/>
      <c r="K10" s="14"/>
      <c r="L10" s="14"/>
      <c r="M10" s="14"/>
    </row>
    <row r="11" spans="1:13" ht="16" thickBot="1" x14ac:dyDescent="0.4">
      <c r="A11" s="15"/>
      <c r="B11" s="29"/>
      <c r="C11" s="14"/>
      <c r="D11" s="15"/>
      <c r="E11" s="16"/>
      <c r="F11" s="14"/>
      <c r="G11" s="14"/>
      <c r="H11" s="14"/>
      <c r="I11" s="14"/>
      <c r="J11" s="14"/>
      <c r="K11" s="14"/>
      <c r="L11" s="14"/>
      <c r="M11" s="14"/>
    </row>
    <row r="12" spans="1:13" ht="16" thickBot="1" x14ac:dyDescent="0.4">
      <c r="A12" s="173" t="s">
        <v>1132</v>
      </c>
      <c r="B12" s="174"/>
      <c r="C12" s="174"/>
      <c r="D12" s="174"/>
      <c r="E12" s="175"/>
      <c r="F12" s="173" t="s">
        <v>12</v>
      </c>
      <c r="G12" s="175"/>
      <c r="H12" s="173" t="s">
        <v>1133</v>
      </c>
      <c r="I12" s="175"/>
      <c r="J12" s="173" t="s">
        <v>1318</v>
      </c>
      <c r="K12" s="175"/>
      <c r="L12" s="173" t="s">
        <v>1134</v>
      </c>
      <c r="M12" s="175"/>
    </row>
    <row r="13" spans="1:13" x14ac:dyDescent="0.35">
      <c r="A13" s="16" t="s">
        <v>15</v>
      </c>
      <c r="B13" s="23" t="s">
        <v>396</v>
      </c>
      <c r="C13" s="16" t="s">
        <v>17</v>
      </c>
      <c r="D13" s="16" t="s">
        <v>18</v>
      </c>
      <c r="E13" s="16" t="s">
        <v>19</v>
      </c>
      <c r="F13" s="16" t="s">
        <v>20</v>
      </c>
      <c r="G13" s="16" t="s">
        <v>21</v>
      </c>
      <c r="H13" s="16" t="s">
        <v>22</v>
      </c>
      <c r="I13" s="16" t="s">
        <v>23</v>
      </c>
      <c r="J13" s="16" t="s">
        <v>24</v>
      </c>
      <c r="K13" s="16" t="s">
        <v>25</v>
      </c>
      <c r="L13" s="16" t="s">
        <v>581</v>
      </c>
      <c r="M13" s="16" t="s">
        <v>582</v>
      </c>
    </row>
    <row r="14" spans="1:13" x14ac:dyDescent="0.35">
      <c r="A14" s="46">
        <v>1</v>
      </c>
      <c r="B14" s="23" t="s">
        <v>1135</v>
      </c>
      <c r="C14" s="45" t="s">
        <v>1136</v>
      </c>
      <c r="D14" s="16" t="s">
        <v>28</v>
      </c>
      <c r="E14" s="46">
        <v>1</v>
      </c>
      <c r="F14" s="56">
        <v>30000</v>
      </c>
      <c r="G14" s="56">
        <v>30000</v>
      </c>
      <c r="H14" s="56">
        <v>11500</v>
      </c>
      <c r="I14" s="56">
        <v>11500</v>
      </c>
      <c r="J14" s="56">
        <v>164680</v>
      </c>
      <c r="K14" s="56">
        <v>164680</v>
      </c>
      <c r="L14" s="56">
        <v>110000</v>
      </c>
      <c r="M14" s="56">
        <v>110000</v>
      </c>
    </row>
    <row r="15" spans="1:13" x14ac:dyDescent="0.35">
      <c r="A15" s="46">
        <v>2</v>
      </c>
      <c r="B15" s="23" t="s">
        <v>1137</v>
      </c>
      <c r="C15" s="45" t="s">
        <v>1138</v>
      </c>
      <c r="D15" s="16" t="s">
        <v>28</v>
      </c>
      <c r="E15" s="46">
        <v>1</v>
      </c>
      <c r="F15" s="56">
        <v>30000</v>
      </c>
      <c r="G15" s="56">
        <v>30000</v>
      </c>
      <c r="H15" s="56">
        <v>65500</v>
      </c>
      <c r="I15" s="56">
        <v>65500</v>
      </c>
      <c r="J15" s="56">
        <v>40200</v>
      </c>
      <c r="K15" s="56">
        <v>40200</v>
      </c>
      <c r="L15" s="56">
        <v>60000</v>
      </c>
      <c r="M15" s="56">
        <v>60000</v>
      </c>
    </row>
    <row r="16" spans="1:13" ht="15" customHeight="1" x14ac:dyDescent="0.35">
      <c r="A16" s="46">
        <v>3</v>
      </c>
      <c r="B16" s="23" t="s">
        <v>1139</v>
      </c>
      <c r="C16" s="45" t="s">
        <v>1140</v>
      </c>
      <c r="D16" s="16" t="s">
        <v>28</v>
      </c>
      <c r="E16" s="46">
        <v>1</v>
      </c>
      <c r="F16" s="56">
        <v>5000</v>
      </c>
      <c r="G16" s="56">
        <v>5000</v>
      </c>
      <c r="H16" s="56">
        <v>813</v>
      </c>
      <c r="I16" s="56">
        <v>813</v>
      </c>
      <c r="J16" s="56">
        <v>8830</v>
      </c>
      <c r="K16" s="56">
        <v>8830</v>
      </c>
      <c r="L16" s="56">
        <v>5000</v>
      </c>
      <c r="M16" s="56">
        <v>5000</v>
      </c>
    </row>
    <row r="17" spans="1:13" ht="15" customHeight="1" x14ac:dyDescent="0.35">
      <c r="A17" s="46">
        <v>4</v>
      </c>
      <c r="B17" s="23" t="s">
        <v>1141</v>
      </c>
      <c r="C17" s="45" t="s">
        <v>1142</v>
      </c>
      <c r="D17" s="16" t="s">
        <v>478</v>
      </c>
      <c r="E17" s="46">
        <v>6</v>
      </c>
      <c r="F17" s="57">
        <v>500</v>
      </c>
      <c r="G17" s="56">
        <v>3000</v>
      </c>
      <c r="H17" s="56">
        <v>1394</v>
      </c>
      <c r="I17" s="56">
        <v>8364</v>
      </c>
      <c r="J17" s="56">
        <v>541</v>
      </c>
      <c r="K17" s="56">
        <v>3246</v>
      </c>
      <c r="L17" s="56">
        <v>1440</v>
      </c>
      <c r="M17" s="56">
        <v>8640</v>
      </c>
    </row>
    <row r="18" spans="1:13" x14ac:dyDescent="0.35">
      <c r="A18" s="46">
        <v>5</v>
      </c>
      <c r="B18" s="23" t="s">
        <v>1143</v>
      </c>
      <c r="C18" s="45" t="s">
        <v>1144</v>
      </c>
      <c r="D18" s="16" t="s">
        <v>28</v>
      </c>
      <c r="E18" s="46">
        <v>1</v>
      </c>
      <c r="F18" s="56">
        <v>10000</v>
      </c>
      <c r="G18" s="56">
        <v>10000</v>
      </c>
      <c r="H18" s="56">
        <v>1626</v>
      </c>
      <c r="I18" s="56">
        <v>1626</v>
      </c>
      <c r="J18" s="56">
        <v>21690</v>
      </c>
      <c r="K18" s="56">
        <v>21690</v>
      </c>
      <c r="L18" s="56">
        <v>5000</v>
      </c>
      <c r="M18" s="56">
        <v>5000</v>
      </c>
    </row>
    <row r="19" spans="1:13" ht="15" customHeight="1" x14ac:dyDescent="0.35">
      <c r="A19" s="46">
        <v>6</v>
      </c>
      <c r="B19" s="23" t="s">
        <v>1145</v>
      </c>
      <c r="C19" s="45" t="s">
        <v>1146</v>
      </c>
      <c r="D19" s="16" t="s">
        <v>435</v>
      </c>
      <c r="E19" s="48">
        <v>2400</v>
      </c>
      <c r="F19" s="57">
        <v>35</v>
      </c>
      <c r="G19" s="56">
        <v>84000</v>
      </c>
      <c r="H19" s="56">
        <v>40.700000000000003</v>
      </c>
      <c r="I19" s="56">
        <v>97680</v>
      </c>
      <c r="J19" s="56">
        <v>55</v>
      </c>
      <c r="K19" s="56">
        <v>132000</v>
      </c>
      <c r="L19" s="56">
        <v>46</v>
      </c>
      <c r="M19" s="56">
        <v>110400</v>
      </c>
    </row>
    <row r="20" spans="1:13" x14ac:dyDescent="0.35">
      <c r="A20" s="46">
        <v>7</v>
      </c>
      <c r="B20" s="23" t="s">
        <v>1147</v>
      </c>
      <c r="C20" s="45" t="s">
        <v>1148</v>
      </c>
      <c r="D20" s="16" t="s">
        <v>435</v>
      </c>
      <c r="E20" s="46">
        <v>650</v>
      </c>
      <c r="F20" s="57">
        <v>115</v>
      </c>
      <c r="G20" s="56">
        <v>74750</v>
      </c>
      <c r="H20" s="56">
        <v>193.7</v>
      </c>
      <c r="I20" s="56">
        <v>125905</v>
      </c>
      <c r="J20" s="56">
        <v>135</v>
      </c>
      <c r="K20" s="56">
        <v>87750</v>
      </c>
      <c r="L20" s="56">
        <v>172</v>
      </c>
      <c r="M20" s="56">
        <v>111800</v>
      </c>
    </row>
    <row r="21" spans="1:13" x14ac:dyDescent="0.35">
      <c r="A21" s="46">
        <v>8</v>
      </c>
      <c r="B21" s="23" t="s">
        <v>1149</v>
      </c>
      <c r="C21" s="45" t="s">
        <v>1150</v>
      </c>
      <c r="D21" s="16" t="s">
        <v>435</v>
      </c>
      <c r="E21" s="46">
        <v>300</v>
      </c>
      <c r="F21" s="57">
        <v>130</v>
      </c>
      <c r="G21" s="56">
        <v>39000</v>
      </c>
      <c r="H21" s="56">
        <v>227.6</v>
      </c>
      <c r="I21" s="56">
        <v>68280</v>
      </c>
      <c r="J21" s="56">
        <v>185</v>
      </c>
      <c r="K21" s="56">
        <v>55500</v>
      </c>
      <c r="L21" s="56">
        <v>200</v>
      </c>
      <c r="M21" s="56">
        <v>60000</v>
      </c>
    </row>
    <row r="22" spans="1:13" x14ac:dyDescent="0.35">
      <c r="A22" s="46">
        <v>9</v>
      </c>
      <c r="B22" s="23" t="s">
        <v>476</v>
      </c>
      <c r="C22" s="45" t="s">
        <v>1151</v>
      </c>
      <c r="D22" s="16" t="s">
        <v>28</v>
      </c>
      <c r="E22" s="46">
        <v>1</v>
      </c>
      <c r="F22" s="56">
        <v>50000</v>
      </c>
      <c r="G22" s="56">
        <v>50000</v>
      </c>
      <c r="H22" s="56">
        <v>75700</v>
      </c>
      <c r="I22" s="56">
        <v>75700</v>
      </c>
      <c r="J22" s="56">
        <v>47170</v>
      </c>
      <c r="K22" s="56">
        <v>47170</v>
      </c>
      <c r="L22" s="56">
        <v>80000</v>
      </c>
      <c r="M22" s="56">
        <v>80000</v>
      </c>
    </row>
    <row r="23" spans="1:13" x14ac:dyDescent="0.35">
      <c r="A23" s="46">
        <v>10</v>
      </c>
      <c r="B23" s="23" t="s">
        <v>26</v>
      </c>
      <c r="C23" s="45" t="s">
        <v>1152</v>
      </c>
      <c r="D23" s="16" t="s">
        <v>28</v>
      </c>
      <c r="E23" s="46">
        <v>1</v>
      </c>
      <c r="F23" s="56">
        <v>200000</v>
      </c>
      <c r="G23" s="56">
        <v>200000</v>
      </c>
      <c r="H23" s="56">
        <v>235000</v>
      </c>
      <c r="I23" s="56">
        <v>235000</v>
      </c>
      <c r="J23" s="56">
        <v>88360</v>
      </c>
      <c r="K23" s="56">
        <v>88360</v>
      </c>
      <c r="L23" s="56">
        <v>410000</v>
      </c>
      <c r="M23" s="56">
        <v>410000</v>
      </c>
    </row>
    <row r="24" spans="1:13" x14ac:dyDescent="0.35">
      <c r="A24" s="46">
        <v>11</v>
      </c>
      <c r="B24" s="23" t="s">
        <v>557</v>
      </c>
      <c r="C24" s="45" t="s">
        <v>1153</v>
      </c>
      <c r="D24" s="16" t="s">
        <v>407</v>
      </c>
      <c r="E24" s="46">
        <v>140</v>
      </c>
      <c r="F24" s="57">
        <v>200</v>
      </c>
      <c r="G24" s="56">
        <v>28000</v>
      </c>
      <c r="H24" s="56">
        <v>121.7</v>
      </c>
      <c r="I24" s="56">
        <v>17038</v>
      </c>
      <c r="J24" s="56">
        <v>191</v>
      </c>
      <c r="K24" s="56">
        <v>26740</v>
      </c>
      <c r="L24" s="56">
        <v>212</v>
      </c>
      <c r="M24" s="56">
        <v>29680</v>
      </c>
    </row>
    <row r="25" spans="1:13" x14ac:dyDescent="0.35">
      <c r="A25" s="46">
        <v>12</v>
      </c>
      <c r="B25" s="23" t="s">
        <v>1009</v>
      </c>
      <c r="C25" s="45" t="s">
        <v>1154</v>
      </c>
      <c r="D25" s="16" t="s">
        <v>407</v>
      </c>
      <c r="E25" s="46">
        <v>550</v>
      </c>
      <c r="F25" s="57">
        <v>250</v>
      </c>
      <c r="G25" s="56">
        <v>137500</v>
      </c>
      <c r="H25" s="56">
        <v>149.19999999999999</v>
      </c>
      <c r="I25" s="56">
        <v>82060</v>
      </c>
      <c r="J25" s="56">
        <v>221</v>
      </c>
      <c r="K25" s="56">
        <v>121550</v>
      </c>
      <c r="L25" s="56">
        <v>230</v>
      </c>
      <c r="M25" s="56">
        <v>126500</v>
      </c>
    </row>
    <row r="26" spans="1:13" x14ac:dyDescent="0.35">
      <c r="A26" s="46">
        <v>13</v>
      </c>
      <c r="B26" s="23" t="s">
        <v>1011</v>
      </c>
      <c r="C26" s="45" t="s">
        <v>1155</v>
      </c>
      <c r="D26" s="16" t="s">
        <v>407</v>
      </c>
      <c r="E26" s="46">
        <v>139</v>
      </c>
      <c r="F26" s="57">
        <v>350</v>
      </c>
      <c r="G26" s="56">
        <v>48650</v>
      </c>
      <c r="H26" s="56">
        <v>200.8</v>
      </c>
      <c r="I26" s="56">
        <v>27911.200000000001</v>
      </c>
      <c r="J26" s="56">
        <v>347</v>
      </c>
      <c r="K26" s="56">
        <v>48233</v>
      </c>
      <c r="L26" s="56">
        <v>356</v>
      </c>
      <c r="M26" s="56">
        <v>49484</v>
      </c>
    </row>
    <row r="27" spans="1:13" x14ac:dyDescent="0.35">
      <c r="A27" s="46">
        <v>14</v>
      </c>
      <c r="B27" s="23" t="s">
        <v>1156</v>
      </c>
      <c r="C27" s="45" t="s">
        <v>1157</v>
      </c>
      <c r="D27" s="16" t="s">
        <v>407</v>
      </c>
      <c r="E27" s="46">
        <v>30</v>
      </c>
      <c r="F27" s="57">
        <v>500</v>
      </c>
      <c r="G27" s="56">
        <v>15000</v>
      </c>
      <c r="H27" s="56">
        <v>248.1</v>
      </c>
      <c r="I27" s="56">
        <v>7443</v>
      </c>
      <c r="J27" s="56">
        <v>372</v>
      </c>
      <c r="K27" s="56">
        <v>11160</v>
      </c>
      <c r="L27" s="56">
        <v>412</v>
      </c>
      <c r="M27" s="56">
        <v>12360</v>
      </c>
    </row>
    <row r="28" spans="1:13" x14ac:dyDescent="0.35">
      <c r="A28" s="46">
        <v>15</v>
      </c>
      <c r="B28" s="23" t="s">
        <v>563</v>
      </c>
      <c r="C28" s="45" t="s">
        <v>1158</v>
      </c>
      <c r="D28" s="16" t="s">
        <v>478</v>
      </c>
      <c r="E28" s="46">
        <v>3</v>
      </c>
      <c r="F28" s="56">
        <v>7000</v>
      </c>
      <c r="G28" s="56">
        <v>21000</v>
      </c>
      <c r="H28" s="56">
        <v>20334</v>
      </c>
      <c r="I28" s="56">
        <v>61002</v>
      </c>
      <c r="J28" s="56">
        <v>25600</v>
      </c>
      <c r="K28" s="56">
        <v>76800</v>
      </c>
      <c r="L28" s="56">
        <v>21400</v>
      </c>
      <c r="M28" s="56">
        <v>64200</v>
      </c>
    </row>
    <row r="29" spans="1:13" x14ac:dyDescent="0.35">
      <c r="A29" s="46">
        <v>16</v>
      </c>
      <c r="B29" s="23" t="s">
        <v>818</v>
      </c>
      <c r="C29" s="45" t="s">
        <v>1159</v>
      </c>
      <c r="D29" s="16" t="s">
        <v>478</v>
      </c>
      <c r="E29" s="46">
        <v>1</v>
      </c>
      <c r="F29" s="56">
        <v>9000</v>
      </c>
      <c r="G29" s="56">
        <v>9000</v>
      </c>
      <c r="H29" s="56">
        <v>14667</v>
      </c>
      <c r="I29" s="56">
        <v>14667</v>
      </c>
      <c r="J29" s="56">
        <v>21210</v>
      </c>
      <c r="K29" s="56">
        <v>21210</v>
      </c>
      <c r="L29" s="56">
        <v>19800</v>
      </c>
      <c r="M29" s="56">
        <v>19800</v>
      </c>
    </row>
    <row r="30" spans="1:13" x14ac:dyDescent="0.35">
      <c r="A30" s="46">
        <v>17</v>
      </c>
      <c r="B30" s="23" t="s">
        <v>559</v>
      </c>
      <c r="C30" s="45" t="s">
        <v>1160</v>
      </c>
      <c r="D30" s="16" t="s">
        <v>478</v>
      </c>
      <c r="E30" s="46">
        <v>2</v>
      </c>
      <c r="F30" s="56">
        <v>3000</v>
      </c>
      <c r="G30" s="56">
        <v>6000</v>
      </c>
      <c r="H30" s="56">
        <v>2413</v>
      </c>
      <c r="I30" s="56">
        <v>4826</v>
      </c>
      <c r="J30" s="56">
        <v>3970</v>
      </c>
      <c r="K30" s="56">
        <v>7940</v>
      </c>
      <c r="L30" s="56">
        <v>7000</v>
      </c>
      <c r="M30" s="56">
        <v>14000</v>
      </c>
    </row>
    <row r="31" spans="1:13" x14ac:dyDescent="0.35">
      <c r="A31" s="46">
        <v>18</v>
      </c>
      <c r="B31" s="23" t="s">
        <v>1161</v>
      </c>
      <c r="C31" s="45" t="s">
        <v>1162</v>
      </c>
      <c r="D31" s="16" t="s">
        <v>478</v>
      </c>
      <c r="E31" s="46">
        <v>1</v>
      </c>
      <c r="F31" s="56">
        <v>4000</v>
      </c>
      <c r="G31" s="56">
        <v>4000</v>
      </c>
      <c r="H31" s="56">
        <v>3424</v>
      </c>
      <c r="I31" s="56">
        <v>3424</v>
      </c>
      <c r="J31" s="56">
        <v>5680</v>
      </c>
      <c r="K31" s="56">
        <v>5680</v>
      </c>
      <c r="L31" s="56">
        <v>8000</v>
      </c>
      <c r="M31" s="56">
        <v>8000</v>
      </c>
    </row>
    <row r="32" spans="1:13" x14ac:dyDescent="0.35">
      <c r="A32" s="46">
        <v>19</v>
      </c>
      <c r="B32" s="23" t="s">
        <v>1163</v>
      </c>
      <c r="C32" s="45" t="s">
        <v>1164</v>
      </c>
      <c r="D32" s="16" t="s">
        <v>478</v>
      </c>
      <c r="E32" s="46">
        <v>1</v>
      </c>
      <c r="F32" s="56">
        <v>5500</v>
      </c>
      <c r="G32" s="56">
        <v>5500</v>
      </c>
      <c r="H32" s="56">
        <v>13018</v>
      </c>
      <c r="I32" s="56">
        <v>13018</v>
      </c>
      <c r="J32" s="56">
        <v>9010</v>
      </c>
      <c r="K32" s="56">
        <v>9010</v>
      </c>
      <c r="L32" s="56">
        <v>19300</v>
      </c>
      <c r="M32" s="56">
        <v>19300</v>
      </c>
    </row>
    <row r="33" spans="1:13" ht="15" customHeight="1" x14ac:dyDescent="0.35">
      <c r="A33" s="46">
        <v>20</v>
      </c>
      <c r="B33" s="23" t="s">
        <v>1165</v>
      </c>
      <c r="C33" s="45" t="s">
        <v>1166</v>
      </c>
      <c r="D33" s="16" t="s">
        <v>478</v>
      </c>
      <c r="E33" s="46">
        <v>2</v>
      </c>
      <c r="F33" s="56">
        <v>6000</v>
      </c>
      <c r="G33" s="56">
        <v>12000</v>
      </c>
      <c r="H33" s="56">
        <v>12452</v>
      </c>
      <c r="I33" s="56">
        <v>24904</v>
      </c>
      <c r="J33" s="56">
        <v>5980</v>
      </c>
      <c r="K33" s="56">
        <v>11960</v>
      </c>
      <c r="L33" s="56">
        <v>17400</v>
      </c>
      <c r="M33" s="56">
        <v>34800</v>
      </c>
    </row>
    <row r="34" spans="1:13" x14ac:dyDescent="0.35">
      <c r="A34" s="46">
        <v>21</v>
      </c>
      <c r="B34" s="23" t="s">
        <v>1056</v>
      </c>
      <c r="C34" s="45" t="s">
        <v>1167</v>
      </c>
      <c r="D34" s="16" t="s">
        <v>407</v>
      </c>
      <c r="E34" s="46">
        <v>205</v>
      </c>
      <c r="F34" s="57">
        <v>225</v>
      </c>
      <c r="G34" s="56">
        <v>46125</v>
      </c>
      <c r="H34" s="56">
        <v>176.7</v>
      </c>
      <c r="I34" s="56">
        <v>36223.5</v>
      </c>
      <c r="J34" s="56">
        <v>183</v>
      </c>
      <c r="K34" s="56">
        <v>37515</v>
      </c>
      <c r="L34" s="56">
        <v>96</v>
      </c>
      <c r="M34" s="56">
        <v>19680</v>
      </c>
    </row>
    <row r="35" spans="1:13" ht="15" customHeight="1" x14ac:dyDescent="0.35">
      <c r="A35" s="46">
        <v>22</v>
      </c>
      <c r="B35" s="23" t="s">
        <v>1168</v>
      </c>
      <c r="C35" s="45" t="s">
        <v>1169</v>
      </c>
      <c r="D35" s="16" t="s">
        <v>407</v>
      </c>
      <c r="E35" s="46">
        <v>20</v>
      </c>
      <c r="F35" s="57">
        <v>250</v>
      </c>
      <c r="G35" s="56">
        <v>5000</v>
      </c>
      <c r="H35" s="56">
        <v>399.8</v>
      </c>
      <c r="I35" s="56">
        <v>7996</v>
      </c>
      <c r="J35" s="56">
        <v>388</v>
      </c>
      <c r="K35" s="56">
        <v>7760</v>
      </c>
      <c r="L35" s="56">
        <v>300</v>
      </c>
      <c r="M35" s="56">
        <v>6000</v>
      </c>
    </row>
    <row r="36" spans="1:13" x14ac:dyDescent="0.35">
      <c r="A36" s="46">
        <v>23</v>
      </c>
      <c r="B36" s="23" t="s">
        <v>828</v>
      </c>
      <c r="C36" s="45" t="s">
        <v>1170</v>
      </c>
      <c r="D36" s="16" t="s">
        <v>407</v>
      </c>
      <c r="E36" s="48">
        <v>1450</v>
      </c>
      <c r="F36" s="57">
        <v>2</v>
      </c>
      <c r="G36" s="56">
        <v>2900</v>
      </c>
      <c r="H36" s="56">
        <v>3</v>
      </c>
      <c r="I36" s="56">
        <v>4350</v>
      </c>
      <c r="J36" s="56">
        <v>3.9</v>
      </c>
      <c r="K36" s="56">
        <v>5655</v>
      </c>
      <c r="L36" s="56">
        <v>3.15</v>
      </c>
      <c r="M36" s="56">
        <v>4567.5</v>
      </c>
    </row>
    <row r="37" spans="1:13" ht="15" customHeight="1" x14ac:dyDescent="0.35">
      <c r="A37" s="46">
        <v>24</v>
      </c>
      <c r="B37" s="23" t="s">
        <v>830</v>
      </c>
      <c r="C37" s="45" t="s">
        <v>1171</v>
      </c>
      <c r="D37" s="16" t="s">
        <v>407</v>
      </c>
      <c r="E37" s="48">
        <v>1450</v>
      </c>
      <c r="F37" s="57">
        <v>2.5</v>
      </c>
      <c r="G37" s="56">
        <v>3625</v>
      </c>
      <c r="H37" s="56">
        <v>2.8</v>
      </c>
      <c r="I37" s="56">
        <v>4060</v>
      </c>
      <c r="J37" s="56">
        <v>3.25</v>
      </c>
      <c r="K37" s="56">
        <v>4712.5</v>
      </c>
      <c r="L37" s="56">
        <v>2.9</v>
      </c>
      <c r="M37" s="56">
        <v>4205</v>
      </c>
    </row>
    <row r="38" spans="1:13" ht="15" customHeight="1" x14ac:dyDescent="0.35">
      <c r="A38" s="46">
        <v>25</v>
      </c>
      <c r="B38" s="23" t="s">
        <v>832</v>
      </c>
      <c r="C38" s="45" t="s">
        <v>1172</v>
      </c>
      <c r="D38" s="16" t="s">
        <v>407</v>
      </c>
      <c r="E38" s="48">
        <v>1400</v>
      </c>
      <c r="F38" s="57">
        <v>1</v>
      </c>
      <c r="G38" s="56">
        <v>1400</v>
      </c>
      <c r="H38" s="56">
        <v>1.4</v>
      </c>
      <c r="I38" s="56">
        <v>1960</v>
      </c>
      <c r="J38" s="56">
        <v>1.95</v>
      </c>
      <c r="K38" s="56">
        <v>2730</v>
      </c>
      <c r="L38" s="56">
        <v>1.5</v>
      </c>
      <c r="M38" s="56">
        <v>2100</v>
      </c>
    </row>
    <row r="39" spans="1:13" ht="15" customHeight="1" x14ac:dyDescent="0.35">
      <c r="A39" s="46">
        <v>26</v>
      </c>
      <c r="B39" s="23" t="s">
        <v>836</v>
      </c>
      <c r="C39" s="45" t="s">
        <v>1173</v>
      </c>
      <c r="D39" s="16" t="s">
        <v>407</v>
      </c>
      <c r="E39" s="48">
        <v>1400</v>
      </c>
      <c r="F39" s="57">
        <v>9</v>
      </c>
      <c r="G39" s="56">
        <v>12600</v>
      </c>
      <c r="H39" s="56">
        <v>21.9</v>
      </c>
      <c r="I39" s="56">
        <v>30660</v>
      </c>
      <c r="J39" s="56">
        <v>22.9</v>
      </c>
      <c r="K39" s="56">
        <v>32060</v>
      </c>
      <c r="L39" s="56">
        <v>23</v>
      </c>
      <c r="M39" s="56">
        <v>32200</v>
      </c>
    </row>
    <row r="40" spans="1:13" ht="14.5" customHeight="1" x14ac:dyDescent="0.35">
      <c r="A40" s="46">
        <v>27</v>
      </c>
      <c r="B40" s="23" t="s">
        <v>838</v>
      </c>
      <c r="C40" s="45" t="s">
        <v>1174</v>
      </c>
      <c r="D40" s="16" t="s">
        <v>407</v>
      </c>
      <c r="E40" s="46">
        <v>50</v>
      </c>
      <c r="F40" s="57">
        <v>100</v>
      </c>
      <c r="G40" s="56">
        <v>5000</v>
      </c>
      <c r="H40" s="56">
        <v>87.1</v>
      </c>
      <c r="I40" s="56">
        <v>4355</v>
      </c>
      <c r="J40" s="56">
        <v>158</v>
      </c>
      <c r="K40" s="56">
        <v>7900</v>
      </c>
      <c r="L40" s="56">
        <v>90</v>
      </c>
      <c r="M40" s="56">
        <v>4500</v>
      </c>
    </row>
    <row r="41" spans="1:13" ht="14.5" customHeight="1" x14ac:dyDescent="0.35">
      <c r="A41" s="46">
        <v>28</v>
      </c>
      <c r="B41" s="23" t="s">
        <v>842</v>
      </c>
      <c r="C41" s="45" t="s">
        <v>1175</v>
      </c>
      <c r="D41" s="16" t="s">
        <v>478</v>
      </c>
      <c r="E41" s="46">
        <v>2</v>
      </c>
      <c r="F41" s="56">
        <v>1500</v>
      </c>
      <c r="G41" s="56">
        <v>3000</v>
      </c>
      <c r="H41" s="56">
        <v>1568</v>
      </c>
      <c r="I41" s="56">
        <v>3136</v>
      </c>
      <c r="J41" s="56">
        <v>2290</v>
      </c>
      <c r="K41" s="56">
        <v>4580</v>
      </c>
      <c r="L41" s="56">
        <v>1625</v>
      </c>
      <c r="M41" s="56">
        <v>3250</v>
      </c>
    </row>
    <row r="42" spans="1:13" ht="15" customHeight="1" x14ac:dyDescent="0.35">
      <c r="A42" s="46">
        <v>29</v>
      </c>
      <c r="B42" s="23" t="s">
        <v>31</v>
      </c>
      <c r="C42" s="45" t="s">
        <v>1176</v>
      </c>
      <c r="D42" s="16" t="s">
        <v>478</v>
      </c>
      <c r="E42" s="46">
        <v>25</v>
      </c>
      <c r="F42" s="56">
        <v>1800</v>
      </c>
      <c r="G42" s="56">
        <v>45000</v>
      </c>
      <c r="H42" s="56">
        <v>1672</v>
      </c>
      <c r="I42" s="56">
        <v>41800</v>
      </c>
      <c r="J42" s="56">
        <v>3270</v>
      </c>
      <c r="K42" s="56">
        <v>81750</v>
      </c>
      <c r="L42" s="56">
        <v>1750</v>
      </c>
      <c r="M42" s="56">
        <v>43750</v>
      </c>
    </row>
    <row r="43" spans="1:13" ht="15" customHeight="1" x14ac:dyDescent="0.35">
      <c r="A43" s="46">
        <v>30</v>
      </c>
      <c r="B43" s="23" t="s">
        <v>746</v>
      </c>
      <c r="C43" s="45" t="s">
        <v>1177</v>
      </c>
      <c r="D43" s="16" t="s">
        <v>478</v>
      </c>
      <c r="E43" s="46">
        <v>3</v>
      </c>
      <c r="F43" s="56">
        <v>3000</v>
      </c>
      <c r="G43" s="56">
        <v>9000</v>
      </c>
      <c r="H43" s="56">
        <v>3309</v>
      </c>
      <c r="I43" s="56">
        <v>9927</v>
      </c>
      <c r="J43" s="56">
        <v>163</v>
      </c>
      <c r="K43" s="56">
        <v>489</v>
      </c>
      <c r="L43" s="56">
        <v>3400</v>
      </c>
      <c r="M43" s="56">
        <v>10200</v>
      </c>
    </row>
    <row r="44" spans="1:13" x14ac:dyDescent="0.35">
      <c r="A44" s="46">
        <v>31</v>
      </c>
      <c r="B44" s="23" t="s">
        <v>502</v>
      </c>
      <c r="C44" s="45" t="s">
        <v>1178</v>
      </c>
      <c r="D44" s="16" t="s">
        <v>428</v>
      </c>
      <c r="E44" s="48">
        <v>17930</v>
      </c>
      <c r="F44" s="57">
        <v>15</v>
      </c>
      <c r="G44" s="56">
        <v>268950</v>
      </c>
      <c r="H44" s="56">
        <v>9</v>
      </c>
      <c r="I44" s="56">
        <v>161370</v>
      </c>
      <c r="J44" s="56">
        <v>15.5</v>
      </c>
      <c r="K44" s="56">
        <v>277915</v>
      </c>
      <c r="L44" s="56">
        <v>22.6</v>
      </c>
      <c r="M44" s="56">
        <v>405218</v>
      </c>
    </row>
    <row r="45" spans="1:13" x14ac:dyDescent="0.35">
      <c r="A45" s="46">
        <v>32</v>
      </c>
      <c r="B45" s="23" t="s">
        <v>775</v>
      </c>
      <c r="C45" s="45" t="s">
        <v>1179</v>
      </c>
      <c r="D45" s="16" t="s">
        <v>428</v>
      </c>
      <c r="E45" s="46">
        <v>716</v>
      </c>
      <c r="F45" s="57">
        <v>125</v>
      </c>
      <c r="G45" s="56">
        <v>89500</v>
      </c>
      <c r="H45" s="56">
        <v>45</v>
      </c>
      <c r="I45" s="56">
        <v>32220</v>
      </c>
      <c r="J45" s="56">
        <v>52</v>
      </c>
      <c r="K45" s="56">
        <v>37232</v>
      </c>
      <c r="L45" s="56">
        <v>103</v>
      </c>
      <c r="M45" s="56">
        <v>73748</v>
      </c>
    </row>
    <row r="46" spans="1:13" x14ac:dyDescent="0.35">
      <c r="A46" s="46">
        <v>33</v>
      </c>
      <c r="B46" s="23" t="s">
        <v>777</v>
      </c>
      <c r="C46" s="45" t="s">
        <v>1180</v>
      </c>
      <c r="D46" s="16" t="s">
        <v>428</v>
      </c>
      <c r="E46" s="48">
        <v>1240</v>
      </c>
      <c r="F46" s="57">
        <v>45</v>
      </c>
      <c r="G46" s="56">
        <v>55800</v>
      </c>
      <c r="H46" s="56">
        <v>45</v>
      </c>
      <c r="I46" s="56">
        <v>55800</v>
      </c>
      <c r="J46" s="56">
        <v>36</v>
      </c>
      <c r="K46" s="56">
        <v>44640</v>
      </c>
      <c r="L46" s="56">
        <v>76</v>
      </c>
      <c r="M46" s="56">
        <v>94240</v>
      </c>
    </row>
    <row r="47" spans="1:13" ht="15" customHeight="1" x14ac:dyDescent="0.35">
      <c r="A47" s="46">
        <v>34</v>
      </c>
      <c r="B47" s="23" t="s">
        <v>779</v>
      </c>
      <c r="C47" s="45" t="s">
        <v>1181</v>
      </c>
      <c r="D47" s="16" t="s">
        <v>412</v>
      </c>
      <c r="E47" s="48">
        <v>7200</v>
      </c>
      <c r="F47" s="57">
        <v>15</v>
      </c>
      <c r="G47" s="56">
        <v>108000</v>
      </c>
      <c r="H47" s="56">
        <v>8.9</v>
      </c>
      <c r="I47" s="56">
        <v>64080</v>
      </c>
      <c r="J47" s="56">
        <v>5.4</v>
      </c>
      <c r="K47" s="56">
        <v>38880</v>
      </c>
      <c r="L47" s="56">
        <v>10.5</v>
      </c>
      <c r="M47" s="56">
        <v>75600</v>
      </c>
    </row>
    <row r="48" spans="1:13" x14ac:dyDescent="0.35">
      <c r="A48" s="46">
        <v>35</v>
      </c>
      <c r="B48" s="23" t="s">
        <v>1182</v>
      </c>
      <c r="C48" s="45" t="s">
        <v>1183</v>
      </c>
      <c r="D48" s="16" t="s">
        <v>435</v>
      </c>
      <c r="E48" s="46">
        <v>530</v>
      </c>
      <c r="F48" s="57">
        <v>250</v>
      </c>
      <c r="G48" s="56">
        <v>132500</v>
      </c>
      <c r="H48" s="56">
        <v>334.4</v>
      </c>
      <c r="I48" s="56">
        <v>177232</v>
      </c>
      <c r="J48" s="56">
        <v>324</v>
      </c>
      <c r="K48" s="56">
        <v>171720</v>
      </c>
      <c r="L48" s="56">
        <v>350</v>
      </c>
      <c r="M48" s="56">
        <v>185500</v>
      </c>
    </row>
    <row r="49" spans="1:13" ht="15" customHeight="1" x14ac:dyDescent="0.35">
      <c r="A49" s="46">
        <v>36</v>
      </c>
      <c r="B49" s="23" t="s">
        <v>1184</v>
      </c>
      <c r="C49" s="45" t="s">
        <v>1185</v>
      </c>
      <c r="D49" s="16" t="s">
        <v>412</v>
      </c>
      <c r="E49" s="48">
        <v>7200</v>
      </c>
      <c r="F49" s="57">
        <v>120</v>
      </c>
      <c r="G49" s="56">
        <v>864000</v>
      </c>
      <c r="H49" s="56">
        <v>117.9</v>
      </c>
      <c r="I49" s="56">
        <v>848880</v>
      </c>
      <c r="J49" s="56">
        <v>158</v>
      </c>
      <c r="K49" s="56">
        <v>1137600</v>
      </c>
      <c r="L49" s="56">
        <v>125</v>
      </c>
      <c r="M49" s="56">
        <v>900000</v>
      </c>
    </row>
    <row r="50" spans="1:13" ht="15" customHeight="1" x14ac:dyDescent="0.35">
      <c r="A50" s="46">
        <v>37</v>
      </c>
      <c r="B50" s="23" t="s">
        <v>793</v>
      </c>
      <c r="C50" s="45" t="s">
        <v>1186</v>
      </c>
      <c r="D50" s="16" t="s">
        <v>545</v>
      </c>
      <c r="E50" s="46">
        <v>301</v>
      </c>
      <c r="F50" s="57">
        <v>10</v>
      </c>
      <c r="G50" s="56">
        <v>3010</v>
      </c>
      <c r="H50" s="56">
        <v>5.7</v>
      </c>
      <c r="I50" s="56">
        <v>1715.7</v>
      </c>
      <c r="J50" s="56">
        <v>6.5</v>
      </c>
      <c r="K50" s="56">
        <v>1956.5</v>
      </c>
      <c r="L50" s="56">
        <v>6</v>
      </c>
      <c r="M50" s="56">
        <v>1806</v>
      </c>
    </row>
    <row r="51" spans="1:13" x14ac:dyDescent="0.35">
      <c r="A51" s="46">
        <v>38</v>
      </c>
      <c r="B51" s="23" t="s">
        <v>504</v>
      </c>
      <c r="C51" s="45" t="s">
        <v>1187</v>
      </c>
      <c r="D51" s="16" t="s">
        <v>548</v>
      </c>
      <c r="E51" s="46">
        <v>10</v>
      </c>
      <c r="F51" s="56">
        <v>3500</v>
      </c>
      <c r="G51" s="56">
        <v>35000</v>
      </c>
      <c r="H51" s="56">
        <v>3623</v>
      </c>
      <c r="I51" s="56">
        <v>36230</v>
      </c>
      <c r="J51" s="56">
        <v>3330</v>
      </c>
      <c r="K51" s="56">
        <v>33300</v>
      </c>
      <c r="L51" s="56">
        <v>4400</v>
      </c>
      <c r="M51" s="56">
        <v>44000</v>
      </c>
    </row>
    <row r="52" spans="1:13" x14ac:dyDescent="0.35">
      <c r="A52" s="46">
        <v>39</v>
      </c>
      <c r="B52" s="23" t="s">
        <v>549</v>
      </c>
      <c r="C52" s="45" t="s">
        <v>1188</v>
      </c>
      <c r="D52" s="16" t="s">
        <v>412</v>
      </c>
      <c r="E52" s="48">
        <v>1500</v>
      </c>
      <c r="F52" s="57">
        <v>8</v>
      </c>
      <c r="G52" s="56">
        <v>12000</v>
      </c>
      <c r="H52" s="56">
        <v>8.3000000000000007</v>
      </c>
      <c r="I52" s="56">
        <v>12450</v>
      </c>
      <c r="J52" s="56">
        <v>7.2</v>
      </c>
      <c r="K52" s="56">
        <v>10800</v>
      </c>
      <c r="L52" s="56">
        <v>12</v>
      </c>
      <c r="M52" s="56">
        <v>18000</v>
      </c>
    </row>
    <row r="53" spans="1:13" x14ac:dyDescent="0.35">
      <c r="A53" s="46">
        <v>40</v>
      </c>
      <c r="B53" s="23" t="s">
        <v>551</v>
      </c>
      <c r="C53" s="45" t="s">
        <v>1189</v>
      </c>
      <c r="D53" s="16" t="s">
        <v>412</v>
      </c>
      <c r="E53" s="48">
        <v>29100</v>
      </c>
      <c r="F53" s="57">
        <v>3</v>
      </c>
      <c r="G53" s="56">
        <v>87300</v>
      </c>
      <c r="H53" s="56">
        <v>1.2</v>
      </c>
      <c r="I53" s="56">
        <v>34920</v>
      </c>
      <c r="J53" s="56">
        <v>2.5</v>
      </c>
      <c r="K53" s="56">
        <v>72750</v>
      </c>
      <c r="L53" s="56">
        <v>2.6</v>
      </c>
      <c r="M53" s="56">
        <v>75660</v>
      </c>
    </row>
    <row r="54" spans="1:13" ht="15" thickBot="1" x14ac:dyDescent="0.4">
      <c r="A54" s="46"/>
      <c r="B54" s="31"/>
      <c r="C54" s="27"/>
      <c r="D54" s="20"/>
      <c r="E54" s="46"/>
      <c r="F54" s="56"/>
      <c r="G54" s="56"/>
      <c r="H54" s="56"/>
      <c r="I54" s="56"/>
      <c r="J54" s="56"/>
      <c r="K54" s="56"/>
      <c r="L54" s="56"/>
      <c r="M54" s="56"/>
    </row>
    <row r="55" spans="1:13" ht="16" thickBot="1" x14ac:dyDescent="0.4">
      <c r="A55" s="21"/>
      <c r="B55" s="29"/>
      <c r="C55" s="21"/>
      <c r="D55" s="178" t="s">
        <v>1190</v>
      </c>
      <c r="E55" s="179"/>
      <c r="F55" s="17"/>
      <c r="G55" s="17">
        <f>SUM(Table001__Page_2_316[EXTENDED TOTAL])</f>
        <v>2602110</v>
      </c>
      <c r="H55" s="17"/>
      <c r="I55" s="17">
        <f>SUM(Table001__Page_2_316[EXTENDED TOTAL2])</f>
        <v>2516026.4000000004</v>
      </c>
      <c r="J55" s="17"/>
      <c r="K55" s="17">
        <f>SUM(Table001__Page_2_316[EXTENDED TOTAL3])</f>
        <v>3001654</v>
      </c>
      <c r="L55" s="17"/>
      <c r="M55" s="18">
        <f>SUM(Table001__Page_2_316[EXTENDED TOTAL4])</f>
        <v>3343188.5</v>
      </c>
    </row>
    <row r="56" spans="1:13" ht="15" thickBot="1" x14ac:dyDescent="0.4">
      <c r="A56" s="14"/>
      <c r="B56" s="29"/>
      <c r="C56" s="14"/>
      <c r="D56" s="14"/>
      <c r="E56" s="16"/>
      <c r="F56" s="14"/>
      <c r="G56" s="14"/>
      <c r="H56" s="14"/>
      <c r="I56" s="14"/>
      <c r="J56" s="14"/>
      <c r="K56" s="14"/>
      <c r="L56" s="14"/>
      <c r="M56" s="14"/>
    </row>
    <row r="57" spans="1:13" ht="16" thickBot="1" x14ac:dyDescent="0.4">
      <c r="A57" s="173" t="s">
        <v>1319</v>
      </c>
      <c r="B57" s="174"/>
      <c r="C57" s="174"/>
      <c r="D57" s="174"/>
      <c r="E57" s="175"/>
      <c r="F57" s="173" t="s">
        <v>12</v>
      </c>
      <c r="G57" s="175"/>
      <c r="H57" s="173" t="s">
        <v>1133</v>
      </c>
      <c r="I57" s="175"/>
      <c r="J57" s="173" t="s">
        <v>1318</v>
      </c>
      <c r="K57" s="175"/>
      <c r="L57" s="173" t="s">
        <v>1134</v>
      </c>
      <c r="M57" s="175"/>
    </row>
    <row r="58" spans="1:13" x14ac:dyDescent="0.35">
      <c r="A58" s="16" t="s">
        <v>15</v>
      </c>
      <c r="B58" s="23" t="s">
        <v>396</v>
      </c>
      <c r="C58" s="16" t="s">
        <v>17</v>
      </c>
      <c r="D58" s="16" t="s">
        <v>18</v>
      </c>
      <c r="E58" s="16" t="s">
        <v>19</v>
      </c>
      <c r="F58" s="16" t="s">
        <v>20</v>
      </c>
      <c r="G58" s="16" t="s">
        <v>21</v>
      </c>
      <c r="H58" s="16" t="s">
        <v>22</v>
      </c>
      <c r="I58" s="16" t="s">
        <v>23</v>
      </c>
      <c r="J58" s="16" t="s">
        <v>24</v>
      </c>
      <c r="K58" s="16" t="s">
        <v>25</v>
      </c>
      <c r="L58" s="16" t="s">
        <v>581</v>
      </c>
      <c r="M58" s="16" t="s">
        <v>582</v>
      </c>
    </row>
    <row r="59" spans="1:13" x14ac:dyDescent="0.35">
      <c r="A59" s="46">
        <v>1</v>
      </c>
      <c r="B59" s="23" t="s">
        <v>1191</v>
      </c>
      <c r="C59" s="45" t="s">
        <v>1192</v>
      </c>
      <c r="D59" s="16" t="s">
        <v>1193</v>
      </c>
      <c r="E59" s="46">
        <v>1</v>
      </c>
      <c r="F59" s="56">
        <v>30000</v>
      </c>
      <c r="G59" s="56">
        <v>30000</v>
      </c>
      <c r="H59" s="59">
        <v>30000</v>
      </c>
      <c r="I59" s="59">
        <v>30000</v>
      </c>
      <c r="J59" s="59">
        <v>30000</v>
      </c>
      <c r="K59" s="59">
        <v>30000</v>
      </c>
      <c r="L59" s="59">
        <v>30000</v>
      </c>
      <c r="M59" s="59">
        <v>30000</v>
      </c>
    </row>
    <row r="60" spans="1:13" x14ac:dyDescent="0.35">
      <c r="A60" s="46">
        <v>2</v>
      </c>
      <c r="B60" s="23" t="s">
        <v>1194</v>
      </c>
      <c r="C60" s="45" t="s">
        <v>1195</v>
      </c>
      <c r="D60" s="16" t="s">
        <v>1193</v>
      </c>
      <c r="E60" s="46">
        <v>1</v>
      </c>
      <c r="F60" s="56">
        <v>25000</v>
      </c>
      <c r="G60" s="56">
        <v>25000</v>
      </c>
      <c r="H60" s="59">
        <v>25000</v>
      </c>
      <c r="I60" s="59">
        <v>25000</v>
      </c>
      <c r="J60" s="59">
        <v>25000</v>
      </c>
      <c r="K60" s="59">
        <v>25000</v>
      </c>
      <c r="L60" s="59">
        <v>25000</v>
      </c>
      <c r="M60" s="59">
        <v>25000</v>
      </c>
    </row>
    <row r="61" spans="1:13" x14ac:dyDescent="0.35">
      <c r="A61" s="46">
        <v>3</v>
      </c>
      <c r="B61" s="23" t="s">
        <v>1196</v>
      </c>
      <c r="C61" s="45" t="s">
        <v>1197</v>
      </c>
      <c r="D61" s="16" t="s">
        <v>1193</v>
      </c>
      <c r="E61" s="46">
        <v>1</v>
      </c>
      <c r="F61" s="56">
        <v>26000</v>
      </c>
      <c r="G61" s="56">
        <v>26000</v>
      </c>
      <c r="H61" s="59">
        <v>26000</v>
      </c>
      <c r="I61" s="59">
        <v>26000</v>
      </c>
      <c r="J61" s="59">
        <v>26000</v>
      </c>
      <c r="K61" s="59">
        <v>26000</v>
      </c>
      <c r="L61" s="59">
        <v>26000</v>
      </c>
      <c r="M61" s="59">
        <v>26000</v>
      </c>
    </row>
    <row r="62" spans="1:13" ht="15" customHeight="1" x14ac:dyDescent="0.35">
      <c r="A62" s="46">
        <v>4</v>
      </c>
      <c r="B62" s="23" t="s">
        <v>1145</v>
      </c>
      <c r="C62" s="93" t="s">
        <v>1146</v>
      </c>
      <c r="D62" s="16" t="s">
        <v>435</v>
      </c>
      <c r="E62" s="48">
        <v>1100</v>
      </c>
      <c r="F62" s="57">
        <v>35</v>
      </c>
      <c r="G62" s="56">
        <v>38500</v>
      </c>
      <c r="H62" s="59">
        <v>47.7</v>
      </c>
      <c r="I62" s="59">
        <v>52470</v>
      </c>
      <c r="J62" s="59">
        <v>72.400000000000006</v>
      </c>
      <c r="K62" s="59">
        <v>79640</v>
      </c>
      <c r="L62" s="59">
        <v>46</v>
      </c>
      <c r="M62" s="59">
        <v>50600</v>
      </c>
    </row>
    <row r="63" spans="1:13" x14ac:dyDescent="0.35">
      <c r="A63" s="46">
        <v>5</v>
      </c>
      <c r="B63" s="23" t="s">
        <v>1147</v>
      </c>
      <c r="C63" s="45" t="s">
        <v>1148</v>
      </c>
      <c r="D63" s="16" t="s">
        <v>435</v>
      </c>
      <c r="E63" s="46">
        <v>350</v>
      </c>
      <c r="F63" s="57">
        <v>115</v>
      </c>
      <c r="G63" s="56">
        <v>40250</v>
      </c>
      <c r="H63" s="59">
        <v>194.2</v>
      </c>
      <c r="I63" s="59">
        <v>67970</v>
      </c>
      <c r="J63" s="59">
        <v>135</v>
      </c>
      <c r="K63" s="59">
        <v>47250</v>
      </c>
      <c r="L63" s="59">
        <v>172</v>
      </c>
      <c r="M63" s="59">
        <v>60200</v>
      </c>
    </row>
    <row r="64" spans="1:13" x14ac:dyDescent="0.35">
      <c r="A64" s="46">
        <v>6</v>
      </c>
      <c r="B64" s="23" t="s">
        <v>1149</v>
      </c>
      <c r="C64" s="45" t="s">
        <v>1150</v>
      </c>
      <c r="D64" s="16" t="s">
        <v>435</v>
      </c>
      <c r="E64" s="46">
        <v>300</v>
      </c>
      <c r="F64" s="57">
        <v>130</v>
      </c>
      <c r="G64" s="56">
        <v>39000</v>
      </c>
      <c r="H64" s="59">
        <v>227</v>
      </c>
      <c r="I64" s="59">
        <v>68100</v>
      </c>
      <c r="J64" s="59">
        <v>185</v>
      </c>
      <c r="K64" s="59">
        <v>55500</v>
      </c>
      <c r="L64" s="59">
        <v>200</v>
      </c>
      <c r="M64" s="59">
        <v>60000</v>
      </c>
    </row>
    <row r="65" spans="1:13" x14ac:dyDescent="0.35">
      <c r="A65" s="46">
        <v>7</v>
      </c>
      <c r="B65" s="23" t="s">
        <v>553</v>
      </c>
      <c r="C65" s="45" t="s">
        <v>1198</v>
      </c>
      <c r="D65" s="16" t="s">
        <v>407</v>
      </c>
      <c r="E65" s="46">
        <v>170</v>
      </c>
      <c r="F65" s="57">
        <v>200</v>
      </c>
      <c r="G65" s="56">
        <v>34000</v>
      </c>
      <c r="H65" s="59">
        <v>92.6</v>
      </c>
      <c r="I65" s="59">
        <v>15742</v>
      </c>
      <c r="J65" s="59">
        <v>175</v>
      </c>
      <c r="K65" s="59">
        <v>29750</v>
      </c>
      <c r="L65" s="59">
        <v>203</v>
      </c>
      <c r="M65" s="59">
        <v>34510</v>
      </c>
    </row>
    <row r="66" spans="1:13" x14ac:dyDescent="0.35">
      <c r="A66" s="46">
        <v>8</v>
      </c>
      <c r="B66" s="23" t="s">
        <v>816</v>
      </c>
      <c r="C66" s="45" t="s">
        <v>1199</v>
      </c>
      <c r="D66" s="16" t="s">
        <v>478</v>
      </c>
      <c r="E66" s="46">
        <v>2</v>
      </c>
      <c r="F66" s="56">
        <v>5000</v>
      </c>
      <c r="G66" s="56">
        <v>10000</v>
      </c>
      <c r="H66" s="59">
        <v>5300</v>
      </c>
      <c r="I66" s="59">
        <v>10600</v>
      </c>
      <c r="J66" s="59">
        <v>9060</v>
      </c>
      <c r="K66" s="59">
        <v>18120</v>
      </c>
      <c r="L66" s="59">
        <v>7700</v>
      </c>
      <c r="M66" s="59">
        <v>15400</v>
      </c>
    </row>
    <row r="67" spans="1:13" x14ac:dyDescent="0.35">
      <c r="A67" s="46">
        <v>9</v>
      </c>
      <c r="B67" s="23" t="s">
        <v>555</v>
      </c>
      <c r="C67" s="45" t="s">
        <v>1200</v>
      </c>
      <c r="D67" s="16" t="s">
        <v>478</v>
      </c>
      <c r="E67" s="46">
        <v>2</v>
      </c>
      <c r="F67" s="56">
        <v>3000</v>
      </c>
      <c r="G67" s="56">
        <v>6000</v>
      </c>
      <c r="H67" s="59">
        <v>2303</v>
      </c>
      <c r="I67" s="59">
        <v>4606</v>
      </c>
      <c r="J67" s="59">
        <v>3440</v>
      </c>
      <c r="K67" s="59">
        <v>6880</v>
      </c>
      <c r="L67" s="59">
        <v>6500</v>
      </c>
      <c r="M67" s="59">
        <v>13000</v>
      </c>
    </row>
    <row r="68" spans="1:13" x14ac:dyDescent="0.35">
      <c r="A68" s="46">
        <v>10</v>
      </c>
      <c r="B68" s="23" t="s">
        <v>1201</v>
      </c>
      <c r="C68" s="45" t="s">
        <v>1202</v>
      </c>
      <c r="D68" s="16" t="s">
        <v>407</v>
      </c>
      <c r="E68" s="46">
        <v>500</v>
      </c>
      <c r="F68" s="57">
        <v>45</v>
      </c>
      <c r="G68" s="56">
        <v>22500</v>
      </c>
      <c r="H68" s="59">
        <v>39.4</v>
      </c>
      <c r="I68" s="59">
        <v>19700</v>
      </c>
      <c r="J68" s="59">
        <v>45.5</v>
      </c>
      <c r="K68" s="59">
        <v>22750</v>
      </c>
      <c r="L68" s="59">
        <v>103</v>
      </c>
      <c r="M68" s="59">
        <v>51500</v>
      </c>
    </row>
    <row r="69" spans="1:13" x14ac:dyDescent="0.35">
      <c r="A69" s="46">
        <v>11</v>
      </c>
      <c r="B69" s="23" t="s">
        <v>1203</v>
      </c>
      <c r="C69" s="45" t="s">
        <v>1204</v>
      </c>
      <c r="D69" s="16" t="s">
        <v>407</v>
      </c>
      <c r="E69" s="46">
        <v>30</v>
      </c>
      <c r="F69" s="57">
        <v>150</v>
      </c>
      <c r="G69" s="56">
        <v>4500</v>
      </c>
      <c r="H69" s="59">
        <v>184.2</v>
      </c>
      <c r="I69" s="59">
        <v>5526</v>
      </c>
      <c r="J69" s="59">
        <v>193</v>
      </c>
      <c r="K69" s="59">
        <v>5790</v>
      </c>
      <c r="L69" s="59">
        <v>300</v>
      </c>
      <c r="M69" s="59">
        <v>9000</v>
      </c>
    </row>
    <row r="70" spans="1:13" x14ac:dyDescent="0.35">
      <c r="A70" s="46">
        <v>12</v>
      </c>
      <c r="B70" s="23" t="s">
        <v>773</v>
      </c>
      <c r="C70" s="45" t="s">
        <v>1205</v>
      </c>
      <c r="D70" s="16" t="s">
        <v>412</v>
      </c>
      <c r="E70" s="48">
        <v>1940</v>
      </c>
      <c r="F70" s="57">
        <v>12</v>
      </c>
      <c r="G70" s="56">
        <v>23280</v>
      </c>
      <c r="H70" s="59">
        <v>2.8</v>
      </c>
      <c r="I70" s="59">
        <v>5432</v>
      </c>
      <c r="J70" s="59">
        <v>6.9</v>
      </c>
      <c r="K70" s="59">
        <v>13386</v>
      </c>
      <c r="L70" s="59">
        <v>10.5</v>
      </c>
      <c r="M70" s="59">
        <v>20370</v>
      </c>
    </row>
    <row r="71" spans="1:13" x14ac:dyDescent="0.35">
      <c r="A71" s="46">
        <v>13</v>
      </c>
      <c r="B71" s="23" t="s">
        <v>502</v>
      </c>
      <c r="C71" s="45" t="s">
        <v>1178</v>
      </c>
      <c r="D71" s="16" t="s">
        <v>428</v>
      </c>
      <c r="E71" s="46">
        <v>740</v>
      </c>
      <c r="F71" s="57">
        <v>15</v>
      </c>
      <c r="G71" s="56">
        <v>11100</v>
      </c>
      <c r="H71" s="59">
        <v>104.8</v>
      </c>
      <c r="I71" s="59">
        <v>77552</v>
      </c>
      <c r="J71" s="59">
        <v>21.25</v>
      </c>
      <c r="K71" s="59">
        <v>15725</v>
      </c>
      <c r="L71" s="59">
        <v>22.6</v>
      </c>
      <c r="M71" s="59">
        <v>16724</v>
      </c>
    </row>
    <row r="72" spans="1:13" x14ac:dyDescent="0.35">
      <c r="A72" s="46">
        <v>14</v>
      </c>
      <c r="B72" s="23" t="s">
        <v>777</v>
      </c>
      <c r="C72" s="45" t="s">
        <v>1180</v>
      </c>
      <c r="D72" s="16" t="s">
        <v>428</v>
      </c>
      <c r="E72" s="46">
        <v>100</v>
      </c>
      <c r="F72" s="57">
        <v>45</v>
      </c>
      <c r="G72" s="56">
        <v>4500</v>
      </c>
      <c r="H72" s="59">
        <v>52.6</v>
      </c>
      <c r="I72" s="59">
        <v>5260</v>
      </c>
      <c r="J72" s="59">
        <v>36</v>
      </c>
      <c r="K72" s="59">
        <v>3600</v>
      </c>
      <c r="L72" s="59">
        <v>76</v>
      </c>
      <c r="M72" s="59">
        <v>7600</v>
      </c>
    </row>
    <row r="73" spans="1:13" x14ac:dyDescent="0.35">
      <c r="A73" s="46">
        <v>15</v>
      </c>
      <c r="B73" s="23" t="s">
        <v>779</v>
      </c>
      <c r="C73" s="45" t="s">
        <v>1206</v>
      </c>
      <c r="D73" s="16" t="s">
        <v>412</v>
      </c>
      <c r="E73" s="48">
        <v>2311</v>
      </c>
      <c r="F73" s="57">
        <v>15</v>
      </c>
      <c r="G73" s="56">
        <v>34665</v>
      </c>
      <c r="H73" s="59">
        <v>11.7</v>
      </c>
      <c r="I73" s="59">
        <v>27038.7</v>
      </c>
      <c r="J73" s="59">
        <v>5.4</v>
      </c>
      <c r="K73" s="59">
        <v>12479.4</v>
      </c>
      <c r="L73" s="59">
        <v>13.3</v>
      </c>
      <c r="M73" s="59">
        <v>30736.3</v>
      </c>
    </row>
    <row r="74" spans="1:13" x14ac:dyDescent="0.35">
      <c r="A74" s="46">
        <v>16</v>
      </c>
      <c r="B74" s="23" t="s">
        <v>1182</v>
      </c>
      <c r="C74" s="45" t="s">
        <v>1183</v>
      </c>
      <c r="D74" s="16" t="s">
        <v>435</v>
      </c>
      <c r="E74" s="46">
        <v>170</v>
      </c>
      <c r="F74" s="57">
        <v>250</v>
      </c>
      <c r="G74" s="56">
        <v>42500</v>
      </c>
      <c r="H74" s="59">
        <v>334.5</v>
      </c>
      <c r="I74" s="59">
        <v>56865</v>
      </c>
      <c r="J74" s="59">
        <v>324</v>
      </c>
      <c r="K74" s="59">
        <v>55080</v>
      </c>
      <c r="L74" s="59">
        <v>350</v>
      </c>
      <c r="M74" s="59">
        <v>59500</v>
      </c>
    </row>
    <row r="75" spans="1:13" ht="15" customHeight="1" x14ac:dyDescent="0.35">
      <c r="A75" s="46">
        <v>17</v>
      </c>
      <c r="B75" s="23" t="s">
        <v>1184</v>
      </c>
      <c r="C75" s="45" t="s">
        <v>1185</v>
      </c>
      <c r="D75" s="16" t="s">
        <v>412</v>
      </c>
      <c r="E75" s="48">
        <v>2311</v>
      </c>
      <c r="F75" s="57">
        <v>120</v>
      </c>
      <c r="G75" s="56">
        <v>277320</v>
      </c>
      <c r="H75" s="59">
        <v>111.6</v>
      </c>
      <c r="I75" s="59">
        <v>257907.6</v>
      </c>
      <c r="J75" s="59">
        <v>158</v>
      </c>
      <c r="K75" s="59">
        <v>365138</v>
      </c>
      <c r="L75" s="59">
        <v>118</v>
      </c>
      <c r="M75" s="59">
        <v>272698</v>
      </c>
    </row>
    <row r="76" spans="1:13" ht="15" customHeight="1" x14ac:dyDescent="0.35">
      <c r="A76" s="46">
        <v>18</v>
      </c>
      <c r="B76" s="23" t="s">
        <v>793</v>
      </c>
      <c r="C76" s="45" t="s">
        <v>1207</v>
      </c>
      <c r="D76" s="16" t="s">
        <v>545</v>
      </c>
      <c r="E76" s="46">
        <v>430</v>
      </c>
      <c r="F76" s="57">
        <v>10</v>
      </c>
      <c r="G76" s="56">
        <v>4300</v>
      </c>
      <c r="H76" s="59">
        <v>7.7</v>
      </c>
      <c r="I76" s="59">
        <v>3311</v>
      </c>
      <c r="J76" s="59">
        <v>6.5</v>
      </c>
      <c r="K76" s="59">
        <v>2795</v>
      </c>
      <c r="L76" s="59">
        <v>6</v>
      </c>
      <c r="M76" s="59">
        <v>2580</v>
      </c>
    </row>
    <row r="77" spans="1:13" x14ac:dyDescent="0.35">
      <c r="A77" s="46">
        <v>19</v>
      </c>
      <c r="B77" s="23" t="s">
        <v>504</v>
      </c>
      <c r="C77" s="45" t="s">
        <v>1187</v>
      </c>
      <c r="D77" s="16" t="s">
        <v>548</v>
      </c>
      <c r="E77" s="46">
        <v>1</v>
      </c>
      <c r="F77" s="56">
        <v>3500</v>
      </c>
      <c r="G77" s="56">
        <v>3500</v>
      </c>
      <c r="H77" s="59">
        <v>3623</v>
      </c>
      <c r="I77" s="59">
        <v>3623</v>
      </c>
      <c r="J77" s="59">
        <v>3330</v>
      </c>
      <c r="K77" s="59">
        <v>3330</v>
      </c>
      <c r="L77" s="59">
        <v>4400</v>
      </c>
      <c r="M77" s="59">
        <v>4400</v>
      </c>
    </row>
    <row r="78" spans="1:13" x14ac:dyDescent="0.35">
      <c r="A78" s="46">
        <v>20</v>
      </c>
      <c r="B78" s="23" t="s">
        <v>549</v>
      </c>
      <c r="C78" s="45" t="s">
        <v>1188</v>
      </c>
      <c r="D78" s="16" t="s">
        <v>412</v>
      </c>
      <c r="E78" s="46">
        <v>800</v>
      </c>
      <c r="F78" s="57">
        <v>8</v>
      </c>
      <c r="G78" s="56">
        <v>6400</v>
      </c>
      <c r="H78" s="59">
        <v>8.3000000000000007</v>
      </c>
      <c r="I78" s="59">
        <v>6640</v>
      </c>
      <c r="J78" s="59">
        <v>7.2</v>
      </c>
      <c r="K78" s="59">
        <v>5760</v>
      </c>
      <c r="L78" s="59">
        <v>12</v>
      </c>
      <c r="M78" s="59">
        <v>9600</v>
      </c>
    </row>
    <row r="79" spans="1:13" ht="15" thickBot="1" x14ac:dyDescent="0.4">
      <c r="A79" s="46">
        <v>21</v>
      </c>
      <c r="B79" s="23" t="s">
        <v>551</v>
      </c>
      <c r="C79" s="45" t="s">
        <v>1189</v>
      </c>
      <c r="D79" s="16" t="s">
        <v>412</v>
      </c>
      <c r="E79" s="48">
        <v>3400</v>
      </c>
      <c r="F79" s="57">
        <v>3</v>
      </c>
      <c r="G79" s="56">
        <v>10200</v>
      </c>
      <c r="H79" s="59">
        <v>1.3</v>
      </c>
      <c r="I79" s="59">
        <v>4420</v>
      </c>
      <c r="J79" s="59">
        <v>3.5</v>
      </c>
      <c r="K79" s="59">
        <v>11900</v>
      </c>
      <c r="L79" s="59">
        <v>2.6</v>
      </c>
      <c r="M79" s="59">
        <v>8840</v>
      </c>
    </row>
    <row r="80" spans="1:13" ht="16" thickBot="1" x14ac:dyDescent="0.4">
      <c r="A80" s="21"/>
      <c r="B80" s="29"/>
      <c r="C80" s="21"/>
      <c r="D80" s="178" t="s">
        <v>1208</v>
      </c>
      <c r="E80" s="179"/>
      <c r="F80" s="17"/>
      <c r="G80" s="17">
        <f>SUM(Table001__Page_2_31622[EXTENDED TOTAL])</f>
        <v>693515</v>
      </c>
      <c r="H80" s="17"/>
      <c r="I80" s="17">
        <f>SUM(Table001__Page_2_31622[EXTENDED TOTAL2])</f>
        <v>773763.3</v>
      </c>
      <c r="J80" s="17"/>
      <c r="K80" s="17">
        <f>SUM(Table001__Page_2_31622[EXTENDED TOTAL3])</f>
        <v>835873.4</v>
      </c>
      <c r="L80" s="17"/>
      <c r="M80" s="18">
        <f>SUM(Table001__Page_2_31622[EXTENDED TOTAL4])</f>
        <v>808258.3</v>
      </c>
    </row>
    <row r="81" spans="1:13" ht="15" thickBot="1" x14ac:dyDescent="0.4"/>
    <row r="82" spans="1:13" ht="16" thickBot="1" x14ac:dyDescent="0.4">
      <c r="A82" s="173" t="s">
        <v>1316</v>
      </c>
      <c r="B82" s="174"/>
      <c r="C82" s="174"/>
      <c r="D82" s="174"/>
      <c r="E82" s="175"/>
      <c r="F82" s="173" t="s">
        <v>12</v>
      </c>
      <c r="G82" s="175"/>
      <c r="H82" s="173" t="s">
        <v>1133</v>
      </c>
      <c r="I82" s="175"/>
      <c r="J82" s="173" t="s">
        <v>1318</v>
      </c>
      <c r="K82" s="175"/>
      <c r="L82" s="173" t="s">
        <v>1134</v>
      </c>
      <c r="M82" s="175"/>
    </row>
    <row r="83" spans="1:13" x14ac:dyDescent="0.35">
      <c r="A83" s="16" t="s">
        <v>15</v>
      </c>
      <c r="B83" s="23" t="s">
        <v>396</v>
      </c>
      <c r="C83" s="16" t="s">
        <v>17</v>
      </c>
      <c r="D83" s="16" t="s">
        <v>18</v>
      </c>
      <c r="E83" s="16" t="s">
        <v>19</v>
      </c>
      <c r="F83" s="16" t="s">
        <v>20</v>
      </c>
      <c r="G83" s="16" t="s">
        <v>21</v>
      </c>
      <c r="H83" s="16" t="s">
        <v>22</v>
      </c>
      <c r="I83" s="16" t="s">
        <v>23</v>
      </c>
      <c r="J83" s="16" t="s">
        <v>24</v>
      </c>
      <c r="K83" s="16" t="s">
        <v>25</v>
      </c>
      <c r="L83" s="16" t="s">
        <v>581</v>
      </c>
      <c r="M83" s="16" t="s">
        <v>582</v>
      </c>
    </row>
    <row r="84" spans="1:13" x14ac:dyDescent="0.35">
      <c r="A84" s="46">
        <v>1</v>
      </c>
      <c r="B84" s="23" t="s">
        <v>1209</v>
      </c>
      <c r="C84" s="45" t="s">
        <v>1210</v>
      </c>
      <c r="D84" s="16" t="s">
        <v>28</v>
      </c>
      <c r="E84" s="46">
        <v>1</v>
      </c>
      <c r="F84" s="56">
        <v>10000</v>
      </c>
      <c r="G84" s="56">
        <v>10000</v>
      </c>
      <c r="H84" s="59">
        <v>3146</v>
      </c>
      <c r="I84" s="59">
        <v>3146</v>
      </c>
      <c r="J84" s="59">
        <v>21240</v>
      </c>
      <c r="K84" s="59">
        <v>21240</v>
      </c>
      <c r="L84" s="59">
        <v>15000</v>
      </c>
      <c r="M84" s="59">
        <v>15000</v>
      </c>
    </row>
    <row r="85" spans="1:13" x14ac:dyDescent="0.35">
      <c r="A85" s="46">
        <v>2</v>
      </c>
      <c r="B85" s="23" t="s">
        <v>1211</v>
      </c>
      <c r="C85" s="45" t="s">
        <v>1212</v>
      </c>
      <c r="D85" s="16" t="s">
        <v>407</v>
      </c>
      <c r="E85" s="48">
        <v>1050</v>
      </c>
      <c r="F85" s="57">
        <v>85</v>
      </c>
      <c r="G85" s="56">
        <v>89250</v>
      </c>
      <c r="H85" s="59">
        <v>233</v>
      </c>
      <c r="I85" s="59">
        <v>244650</v>
      </c>
      <c r="J85" s="59">
        <v>243</v>
      </c>
      <c r="K85" s="59">
        <v>255150</v>
      </c>
      <c r="L85" s="59">
        <v>500</v>
      </c>
      <c r="M85" s="59">
        <v>525000</v>
      </c>
    </row>
    <row r="86" spans="1:13" x14ac:dyDescent="0.35">
      <c r="A86" s="46">
        <v>3</v>
      </c>
      <c r="B86" s="23" t="s">
        <v>1213</v>
      </c>
      <c r="C86" s="45" t="s">
        <v>1214</v>
      </c>
      <c r="D86" s="16" t="s">
        <v>407</v>
      </c>
      <c r="E86" s="48">
        <v>1150</v>
      </c>
      <c r="F86" s="57">
        <v>30</v>
      </c>
      <c r="G86" s="56">
        <v>34500</v>
      </c>
      <c r="H86" s="59">
        <v>142</v>
      </c>
      <c r="I86" s="59">
        <v>163300</v>
      </c>
      <c r="J86" s="59">
        <v>195</v>
      </c>
      <c r="K86" s="59">
        <v>224250</v>
      </c>
      <c r="L86" s="59">
        <v>230</v>
      </c>
      <c r="M86" s="59">
        <v>264500</v>
      </c>
    </row>
    <row r="87" spans="1:13" x14ac:dyDescent="0.35">
      <c r="A87" s="46">
        <v>4</v>
      </c>
      <c r="B87" s="23" t="s">
        <v>1215</v>
      </c>
      <c r="C87" s="45" t="s">
        <v>1216</v>
      </c>
      <c r="D87" s="16" t="s">
        <v>478</v>
      </c>
      <c r="E87" s="46">
        <v>5</v>
      </c>
      <c r="F87" s="56">
        <v>6000</v>
      </c>
      <c r="G87" s="56">
        <v>30000</v>
      </c>
      <c r="H87" s="59">
        <v>7578</v>
      </c>
      <c r="I87" s="59">
        <v>37890</v>
      </c>
      <c r="J87" s="59">
        <v>13420</v>
      </c>
      <c r="K87" s="59">
        <v>67100</v>
      </c>
      <c r="L87" s="59">
        <v>9000</v>
      </c>
      <c r="M87" s="59">
        <v>45000</v>
      </c>
    </row>
    <row r="88" spans="1:13" x14ac:dyDescent="0.35">
      <c r="A88" s="46">
        <v>5</v>
      </c>
      <c r="B88" s="23" t="s">
        <v>1217</v>
      </c>
      <c r="C88" s="45" t="s">
        <v>1218</v>
      </c>
      <c r="D88" s="16" t="s">
        <v>1219</v>
      </c>
      <c r="E88" s="46">
        <v>37</v>
      </c>
      <c r="F88" s="57">
        <v>40</v>
      </c>
      <c r="G88" s="56">
        <v>1480</v>
      </c>
      <c r="H88" s="59">
        <v>176</v>
      </c>
      <c r="I88" s="59">
        <v>6512</v>
      </c>
      <c r="J88" s="59">
        <v>425</v>
      </c>
      <c r="K88" s="59">
        <v>15725</v>
      </c>
      <c r="L88" s="59">
        <v>375</v>
      </c>
      <c r="M88" s="59">
        <v>13875</v>
      </c>
    </row>
    <row r="89" spans="1:13" x14ac:dyDescent="0.35">
      <c r="A89" s="46">
        <v>6</v>
      </c>
      <c r="B89" s="23" t="s">
        <v>1220</v>
      </c>
      <c r="C89" s="45" t="s">
        <v>1221</v>
      </c>
      <c r="D89" s="16" t="s">
        <v>478</v>
      </c>
      <c r="E89" s="46">
        <v>1</v>
      </c>
      <c r="F89" s="56">
        <v>4000</v>
      </c>
      <c r="G89" s="56">
        <v>4000</v>
      </c>
      <c r="H89" s="59">
        <v>8887</v>
      </c>
      <c r="I89" s="59">
        <v>8887</v>
      </c>
      <c r="J89" s="59">
        <v>10000</v>
      </c>
      <c r="K89" s="59">
        <v>10000</v>
      </c>
      <c r="L89" s="59">
        <v>10000</v>
      </c>
      <c r="M89" s="59">
        <v>10000</v>
      </c>
    </row>
    <row r="90" spans="1:13" x14ac:dyDescent="0.35">
      <c r="A90" s="46">
        <v>7</v>
      </c>
      <c r="B90" s="23" t="s">
        <v>1222</v>
      </c>
      <c r="C90" s="45" t="s">
        <v>1223</v>
      </c>
      <c r="D90" s="16" t="s">
        <v>478</v>
      </c>
      <c r="E90" s="46">
        <v>14</v>
      </c>
      <c r="F90" s="56">
        <v>2000</v>
      </c>
      <c r="G90" s="56">
        <v>28000</v>
      </c>
      <c r="H90" s="59">
        <v>758</v>
      </c>
      <c r="I90" s="59">
        <v>10612</v>
      </c>
      <c r="J90" s="59">
        <v>2370</v>
      </c>
      <c r="K90" s="59">
        <v>33180</v>
      </c>
      <c r="L90" s="59">
        <v>2500</v>
      </c>
      <c r="M90" s="59">
        <v>35000</v>
      </c>
    </row>
    <row r="91" spans="1:13" x14ac:dyDescent="0.35">
      <c r="A91" s="46">
        <v>8</v>
      </c>
      <c r="B91" s="23" t="s">
        <v>1224</v>
      </c>
      <c r="C91" s="45" t="s">
        <v>1225</v>
      </c>
      <c r="D91" s="16" t="s">
        <v>412</v>
      </c>
      <c r="E91" s="46">
        <v>100</v>
      </c>
      <c r="F91" s="57">
        <v>60</v>
      </c>
      <c r="G91" s="56">
        <v>6000</v>
      </c>
      <c r="H91" s="59">
        <v>152.9</v>
      </c>
      <c r="I91" s="59">
        <v>15290</v>
      </c>
      <c r="J91" s="59">
        <v>290</v>
      </c>
      <c r="K91" s="59">
        <v>29000</v>
      </c>
      <c r="L91" s="59">
        <v>85</v>
      </c>
      <c r="M91" s="59">
        <v>8500</v>
      </c>
    </row>
    <row r="92" spans="1:13" x14ac:dyDescent="0.35">
      <c r="A92" s="46">
        <v>9</v>
      </c>
      <c r="B92" s="23" t="s">
        <v>1226</v>
      </c>
      <c r="C92" s="45" t="s">
        <v>1179</v>
      </c>
      <c r="D92" s="16" t="s">
        <v>428</v>
      </c>
      <c r="E92" s="46">
        <v>700</v>
      </c>
      <c r="F92" s="57">
        <v>125</v>
      </c>
      <c r="G92" s="56">
        <v>87500</v>
      </c>
      <c r="H92" s="59">
        <v>83.5</v>
      </c>
      <c r="I92" s="59">
        <v>58450</v>
      </c>
      <c r="J92" s="59">
        <v>140</v>
      </c>
      <c r="K92" s="59">
        <v>98000</v>
      </c>
      <c r="L92" s="59">
        <v>100</v>
      </c>
      <c r="M92" s="59">
        <v>70000</v>
      </c>
    </row>
    <row r="93" spans="1:13" x14ac:dyDescent="0.35">
      <c r="A93" s="46">
        <v>10</v>
      </c>
      <c r="B93" s="23" t="s">
        <v>1227</v>
      </c>
      <c r="C93" s="45" t="s">
        <v>1228</v>
      </c>
      <c r="D93" s="16" t="s">
        <v>428</v>
      </c>
      <c r="E93" s="46">
        <v>90</v>
      </c>
      <c r="F93" s="57">
        <v>45</v>
      </c>
      <c r="G93" s="56">
        <v>4050</v>
      </c>
      <c r="H93" s="59">
        <v>135.1</v>
      </c>
      <c r="I93" s="59">
        <v>12159</v>
      </c>
      <c r="J93" s="59">
        <v>125</v>
      </c>
      <c r="K93" s="59">
        <v>11250</v>
      </c>
      <c r="L93" s="59">
        <v>125</v>
      </c>
      <c r="M93" s="59">
        <v>11250</v>
      </c>
    </row>
    <row r="94" spans="1:13" ht="15" thickBot="1" x14ac:dyDescent="0.4">
      <c r="A94" s="46">
        <v>11</v>
      </c>
      <c r="B94" s="23" t="s">
        <v>26</v>
      </c>
      <c r="C94" s="45" t="s">
        <v>27</v>
      </c>
      <c r="D94" s="16" t="s">
        <v>28</v>
      </c>
      <c r="E94" s="46">
        <v>1</v>
      </c>
      <c r="F94" s="56">
        <v>30000</v>
      </c>
      <c r="G94" s="56">
        <v>30000</v>
      </c>
      <c r="H94" s="59">
        <v>30776</v>
      </c>
      <c r="I94" s="59">
        <v>30776</v>
      </c>
      <c r="J94" s="59">
        <v>49330</v>
      </c>
      <c r="K94" s="59">
        <v>49330</v>
      </c>
      <c r="L94" s="59">
        <v>100000</v>
      </c>
      <c r="M94" s="59">
        <v>100000</v>
      </c>
    </row>
    <row r="95" spans="1:13" ht="16" thickBot="1" x14ac:dyDescent="0.4">
      <c r="A95" s="21"/>
      <c r="B95" s="29"/>
      <c r="C95" s="21"/>
      <c r="D95" s="178" t="s">
        <v>1229</v>
      </c>
      <c r="E95" s="179"/>
      <c r="F95" s="17"/>
      <c r="G95" s="17">
        <f>SUM(Table001__Page_2_3162223[EXTENDED TOTAL])</f>
        <v>324780</v>
      </c>
      <c r="H95" s="17"/>
      <c r="I95" s="17">
        <f>SUM(Table001__Page_2_3162223[EXTENDED TOTAL2])</f>
        <v>591672</v>
      </c>
      <c r="J95" s="17"/>
      <c r="K95" s="17">
        <f>SUM(Table001__Page_2_3162223[EXTENDED TOTAL3])</f>
        <v>814225</v>
      </c>
      <c r="L95" s="17"/>
      <c r="M95" s="18">
        <f>SUM(Table001__Page_2_3162223[EXTENDED TOTAL4])</f>
        <v>1098125</v>
      </c>
    </row>
    <row r="96" spans="1:13" ht="15" thickBot="1" x14ac:dyDescent="0.4"/>
    <row r="97" spans="1:13" ht="16" thickBot="1" x14ac:dyDescent="0.4">
      <c r="A97" s="173" t="s">
        <v>1317</v>
      </c>
      <c r="B97" s="174"/>
      <c r="C97" s="174"/>
      <c r="D97" s="174"/>
      <c r="E97" s="175"/>
      <c r="F97" s="173" t="s">
        <v>12</v>
      </c>
      <c r="G97" s="175"/>
      <c r="H97" s="173" t="s">
        <v>1133</v>
      </c>
      <c r="I97" s="175"/>
      <c r="J97" s="173" t="s">
        <v>1318</v>
      </c>
      <c r="K97" s="175"/>
      <c r="L97" s="173" t="s">
        <v>1134</v>
      </c>
      <c r="M97" s="175"/>
    </row>
    <row r="98" spans="1:13" x14ac:dyDescent="0.35">
      <c r="A98" s="16" t="s">
        <v>15</v>
      </c>
      <c r="B98" s="23" t="s">
        <v>396</v>
      </c>
      <c r="C98" s="16" t="s">
        <v>17</v>
      </c>
      <c r="D98" s="16" t="s">
        <v>18</v>
      </c>
      <c r="E98" s="16" t="s">
        <v>19</v>
      </c>
      <c r="F98" s="16" t="s">
        <v>20</v>
      </c>
      <c r="G98" s="16" t="s">
        <v>21</v>
      </c>
      <c r="H98" s="16" t="s">
        <v>22</v>
      </c>
      <c r="I98" s="16" t="s">
        <v>23</v>
      </c>
      <c r="J98" s="16" t="s">
        <v>24</v>
      </c>
      <c r="K98" s="16" t="s">
        <v>25</v>
      </c>
      <c r="L98" s="16" t="s">
        <v>581</v>
      </c>
      <c r="M98" s="16" t="s">
        <v>582</v>
      </c>
    </row>
    <row r="99" spans="1:13" x14ac:dyDescent="0.35">
      <c r="A99" s="46">
        <v>1</v>
      </c>
      <c r="B99" s="23" t="s">
        <v>1209</v>
      </c>
      <c r="C99" s="45" t="s">
        <v>1210</v>
      </c>
      <c r="D99" s="16" t="s">
        <v>28</v>
      </c>
      <c r="E99" s="46">
        <v>1</v>
      </c>
      <c r="F99" s="56">
        <v>5000</v>
      </c>
      <c r="G99" s="56">
        <v>5000</v>
      </c>
      <c r="H99" s="59">
        <v>3146</v>
      </c>
      <c r="I99" s="59">
        <v>3146</v>
      </c>
      <c r="J99" s="59">
        <v>11150</v>
      </c>
      <c r="K99" s="59">
        <v>11150</v>
      </c>
      <c r="L99" s="59">
        <v>7000</v>
      </c>
      <c r="M99" s="59">
        <v>7000</v>
      </c>
    </row>
    <row r="100" spans="1:13" x14ac:dyDescent="0.35">
      <c r="A100" s="46">
        <v>2</v>
      </c>
      <c r="B100" s="23" t="s">
        <v>1211</v>
      </c>
      <c r="C100" s="45" t="s">
        <v>1212</v>
      </c>
      <c r="D100" s="16" t="s">
        <v>407</v>
      </c>
      <c r="E100" s="46">
        <v>670</v>
      </c>
      <c r="F100" s="57">
        <v>85</v>
      </c>
      <c r="G100" s="56">
        <v>56950</v>
      </c>
      <c r="H100" s="59">
        <v>106.6</v>
      </c>
      <c r="I100" s="59">
        <v>71422</v>
      </c>
      <c r="J100" s="59">
        <v>243</v>
      </c>
      <c r="K100" s="59">
        <v>162810</v>
      </c>
      <c r="L100" s="59">
        <v>210</v>
      </c>
      <c r="M100" s="59">
        <v>140700</v>
      </c>
    </row>
    <row r="101" spans="1:13" x14ac:dyDescent="0.35">
      <c r="A101" s="46">
        <v>3</v>
      </c>
      <c r="B101" s="23" t="s">
        <v>1213</v>
      </c>
      <c r="C101" s="45" t="s">
        <v>1214</v>
      </c>
      <c r="D101" s="16" t="s">
        <v>407</v>
      </c>
      <c r="E101" s="46">
        <v>100</v>
      </c>
      <c r="F101" s="57">
        <v>30</v>
      </c>
      <c r="G101" s="56">
        <v>3000</v>
      </c>
      <c r="H101" s="59">
        <v>112.4</v>
      </c>
      <c r="I101" s="59">
        <v>11240</v>
      </c>
      <c r="J101" s="59">
        <v>195</v>
      </c>
      <c r="K101" s="59">
        <v>19500</v>
      </c>
      <c r="L101" s="59">
        <v>185</v>
      </c>
      <c r="M101" s="59">
        <v>18500</v>
      </c>
    </row>
    <row r="102" spans="1:13" x14ac:dyDescent="0.35">
      <c r="A102" s="46">
        <v>4</v>
      </c>
      <c r="B102" s="23" t="s">
        <v>1215</v>
      </c>
      <c r="C102" s="45" t="s">
        <v>1216</v>
      </c>
      <c r="D102" s="16" t="s">
        <v>478</v>
      </c>
      <c r="E102" s="46">
        <v>2</v>
      </c>
      <c r="F102" s="56">
        <v>6000</v>
      </c>
      <c r="G102" s="56">
        <v>12000</v>
      </c>
      <c r="H102" s="59">
        <v>6960</v>
      </c>
      <c r="I102" s="59">
        <v>13920</v>
      </c>
      <c r="J102" s="59">
        <v>13420</v>
      </c>
      <c r="K102" s="59">
        <v>26840</v>
      </c>
      <c r="L102" s="59">
        <v>9000</v>
      </c>
      <c r="M102" s="59">
        <v>18000</v>
      </c>
    </row>
    <row r="103" spans="1:13" x14ac:dyDescent="0.35">
      <c r="A103" s="46">
        <v>5</v>
      </c>
      <c r="B103" s="23" t="s">
        <v>1217</v>
      </c>
      <c r="C103" s="45" t="s">
        <v>1218</v>
      </c>
      <c r="D103" s="16" t="s">
        <v>1219</v>
      </c>
      <c r="E103" s="46">
        <v>5</v>
      </c>
      <c r="F103" s="57">
        <v>40</v>
      </c>
      <c r="G103" s="57">
        <v>200</v>
      </c>
      <c r="H103" s="59">
        <v>176</v>
      </c>
      <c r="I103" s="59">
        <v>880</v>
      </c>
      <c r="J103" s="59">
        <v>620</v>
      </c>
      <c r="K103" s="59">
        <v>3100</v>
      </c>
      <c r="L103" s="59">
        <v>375</v>
      </c>
      <c r="M103" s="59">
        <v>1875</v>
      </c>
    </row>
    <row r="104" spans="1:13" x14ac:dyDescent="0.35">
      <c r="A104" s="46">
        <v>6</v>
      </c>
      <c r="B104" s="23" t="s">
        <v>1220</v>
      </c>
      <c r="C104" s="45" t="s">
        <v>1221</v>
      </c>
      <c r="D104" s="16" t="s">
        <v>478</v>
      </c>
      <c r="E104" s="46">
        <v>1</v>
      </c>
      <c r="F104" s="56">
        <v>4000</v>
      </c>
      <c r="G104" s="56">
        <v>4000</v>
      </c>
      <c r="H104" s="59">
        <v>8887</v>
      </c>
      <c r="I104" s="59">
        <v>8887</v>
      </c>
      <c r="J104" s="59">
        <v>10000</v>
      </c>
      <c r="K104" s="59">
        <v>10000</v>
      </c>
      <c r="L104" s="59">
        <v>10000</v>
      </c>
      <c r="M104" s="59">
        <v>10000</v>
      </c>
    </row>
    <row r="105" spans="1:13" x14ac:dyDescent="0.35">
      <c r="A105" s="46">
        <v>7</v>
      </c>
      <c r="B105" s="23" t="s">
        <v>1222</v>
      </c>
      <c r="C105" s="45" t="s">
        <v>1223</v>
      </c>
      <c r="D105" s="16" t="s">
        <v>478</v>
      </c>
      <c r="E105" s="46">
        <v>1</v>
      </c>
      <c r="F105" s="56">
        <v>2000</v>
      </c>
      <c r="G105" s="56">
        <v>2000</v>
      </c>
      <c r="H105" s="59">
        <v>758</v>
      </c>
      <c r="I105" s="59">
        <v>758</v>
      </c>
      <c r="J105" s="59">
        <v>7120</v>
      </c>
      <c r="K105" s="59">
        <v>7120</v>
      </c>
      <c r="L105" s="59">
        <v>2500</v>
      </c>
      <c r="M105" s="59">
        <v>2500</v>
      </c>
    </row>
    <row r="106" spans="1:13" x14ac:dyDescent="0.35">
      <c r="A106" s="46">
        <v>8</v>
      </c>
      <c r="B106" s="23" t="s">
        <v>1226</v>
      </c>
      <c r="C106" s="45" t="s">
        <v>1179</v>
      </c>
      <c r="D106" s="16" t="s">
        <v>428</v>
      </c>
      <c r="E106" s="46">
        <v>500</v>
      </c>
      <c r="F106" s="57">
        <v>125</v>
      </c>
      <c r="G106" s="56">
        <v>62500</v>
      </c>
      <c r="H106" s="59">
        <v>83.5</v>
      </c>
      <c r="I106" s="59">
        <v>41750</v>
      </c>
      <c r="J106" s="59">
        <v>140</v>
      </c>
      <c r="K106" s="59">
        <v>70000</v>
      </c>
      <c r="L106" s="59">
        <v>100</v>
      </c>
      <c r="M106" s="59">
        <v>50000</v>
      </c>
    </row>
    <row r="107" spans="1:13" ht="15" thickBot="1" x14ac:dyDescent="0.4">
      <c r="A107" s="46">
        <v>9</v>
      </c>
      <c r="B107" s="23" t="s">
        <v>1227</v>
      </c>
      <c r="C107" s="45" t="s">
        <v>1228</v>
      </c>
      <c r="D107" s="16" t="s">
        <v>428</v>
      </c>
      <c r="E107" s="46">
        <v>40</v>
      </c>
      <c r="F107" s="57">
        <v>45</v>
      </c>
      <c r="G107" s="56">
        <v>1800</v>
      </c>
      <c r="H107" s="59">
        <v>203.2</v>
      </c>
      <c r="I107" s="59">
        <v>8128</v>
      </c>
      <c r="J107" s="59">
        <v>125</v>
      </c>
      <c r="K107" s="59">
        <v>5000</v>
      </c>
      <c r="L107" s="59">
        <v>125</v>
      </c>
      <c r="M107" s="59">
        <v>5000</v>
      </c>
    </row>
    <row r="108" spans="1:13" ht="16" thickBot="1" x14ac:dyDescent="0.4">
      <c r="A108" s="21"/>
      <c r="B108" s="29"/>
      <c r="C108" s="21"/>
      <c r="D108" s="178" t="s">
        <v>1230</v>
      </c>
      <c r="E108" s="179"/>
      <c r="F108" s="17"/>
      <c r="G108" s="17">
        <f>SUM(Table001__Page_2_316222324[EXTENDED TOTAL])</f>
        <v>147450</v>
      </c>
      <c r="H108" s="17"/>
      <c r="I108" s="17">
        <f>SUM(Table001__Page_2_316222324[EXTENDED TOTAL2])</f>
        <v>160131</v>
      </c>
      <c r="J108" s="17"/>
      <c r="K108" s="17">
        <f>SUM(Table001__Page_2_316222324[EXTENDED TOTAL3])</f>
        <v>315520</v>
      </c>
      <c r="L108" s="17"/>
      <c r="M108" s="18">
        <f>SUM(Table001__Page_2_316222324[EXTENDED TOTAL4])</f>
        <v>253575</v>
      </c>
    </row>
    <row r="120" ht="14.5" customHeight="1" x14ac:dyDescent="0.35"/>
    <row r="121" ht="14.5" customHeight="1" x14ac:dyDescent="0.35"/>
  </sheetData>
  <mergeCells count="24">
    <mergeCell ref="L12:M12"/>
    <mergeCell ref="L57:M57"/>
    <mergeCell ref="L82:M82"/>
    <mergeCell ref="A57:E57"/>
    <mergeCell ref="F57:G57"/>
    <mergeCell ref="H57:I57"/>
    <mergeCell ref="J57:K57"/>
    <mergeCell ref="D55:E55"/>
    <mergeCell ref="A12:E12"/>
    <mergeCell ref="F12:G12"/>
    <mergeCell ref="H12:I12"/>
    <mergeCell ref="J12:K12"/>
    <mergeCell ref="J97:K97"/>
    <mergeCell ref="L97:M97"/>
    <mergeCell ref="D80:E80"/>
    <mergeCell ref="A82:E82"/>
    <mergeCell ref="F82:G82"/>
    <mergeCell ref="H82:I82"/>
    <mergeCell ref="J82:K82"/>
    <mergeCell ref="D108:E108"/>
    <mergeCell ref="D95:E95"/>
    <mergeCell ref="A97:E97"/>
    <mergeCell ref="F97:G97"/>
    <mergeCell ref="H97:I97"/>
  </mergeCells>
  <phoneticPr fontId="10" type="noConversion"/>
  <pageMargins left="0.7" right="0.7" top="0.75" bottom="0.75" header="0.3" footer="0.3"/>
  <pageSetup orientation="portrait" verticalDpi="0"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CE5B-EBB0-4581-9CD4-20DC173A5E8C}">
  <sheetPr codeName="Sheet2"/>
  <dimension ref="A1:K80"/>
  <sheetViews>
    <sheetView topLeftCell="A21" workbookViewId="0">
      <selection activeCell="A56" sqref="A56"/>
    </sheetView>
  </sheetViews>
  <sheetFormatPr defaultRowHeight="14.5" x14ac:dyDescent="0.35"/>
  <cols>
    <col min="3" max="3" width="24.54296875" bestFit="1" customWidth="1"/>
    <col min="4" max="4" width="37.1796875" bestFit="1" customWidth="1"/>
  </cols>
  <sheetData>
    <row r="1" spans="1:11" x14ac:dyDescent="0.35">
      <c r="A1" s="12" t="s">
        <v>34</v>
      </c>
      <c r="B1" s="12" t="s">
        <v>35</v>
      </c>
      <c r="C1" s="12" t="s">
        <v>36</v>
      </c>
      <c r="D1" s="12" t="s">
        <v>37</v>
      </c>
      <c r="E1" s="12" t="s">
        <v>38</v>
      </c>
      <c r="F1" s="6"/>
    </row>
    <row r="2" spans="1:11" x14ac:dyDescent="0.35">
      <c r="A2" s="13" t="s">
        <v>39</v>
      </c>
      <c r="B2" t="s">
        <v>40</v>
      </c>
      <c r="C2" t="s">
        <v>41</v>
      </c>
      <c r="D2" t="s">
        <v>42</v>
      </c>
      <c r="E2" t="s">
        <v>43</v>
      </c>
    </row>
    <row r="3" spans="1:11" x14ac:dyDescent="0.35">
      <c r="A3" s="13" t="s">
        <v>44</v>
      </c>
      <c r="B3" t="s">
        <v>45</v>
      </c>
      <c r="C3" t="s">
        <v>46</v>
      </c>
      <c r="D3" t="s">
        <v>46</v>
      </c>
      <c r="E3" t="s">
        <v>47</v>
      </c>
    </row>
    <row r="4" spans="1:11" x14ac:dyDescent="0.35">
      <c r="A4" s="13" t="s">
        <v>48</v>
      </c>
      <c r="B4" t="s">
        <v>49</v>
      </c>
      <c r="C4" t="s">
        <v>50</v>
      </c>
      <c r="D4" t="s">
        <v>51</v>
      </c>
      <c r="E4" t="s">
        <v>47</v>
      </c>
    </row>
    <row r="5" spans="1:11" x14ac:dyDescent="0.35">
      <c r="A5" s="13" t="s">
        <v>52</v>
      </c>
      <c r="B5" t="s">
        <v>53</v>
      </c>
      <c r="C5" t="s">
        <v>54</v>
      </c>
      <c r="D5" t="s">
        <v>55</v>
      </c>
      <c r="E5" t="s">
        <v>56</v>
      </c>
    </row>
    <row r="6" spans="1:11" x14ac:dyDescent="0.35">
      <c r="A6" s="13" t="s">
        <v>57</v>
      </c>
      <c r="B6" t="s">
        <v>58</v>
      </c>
      <c r="C6" t="s">
        <v>59</v>
      </c>
      <c r="D6" t="s">
        <v>60</v>
      </c>
      <c r="E6" t="s">
        <v>43</v>
      </c>
    </row>
    <row r="7" spans="1:11" ht="15.5" x14ac:dyDescent="0.35">
      <c r="A7" s="13" t="s">
        <v>61</v>
      </c>
      <c r="B7" t="s">
        <v>62</v>
      </c>
      <c r="C7" t="s">
        <v>63</v>
      </c>
      <c r="D7" t="s">
        <v>64</v>
      </c>
      <c r="E7" t="s">
        <v>56</v>
      </c>
      <c r="J7" s="1"/>
    </row>
    <row r="8" spans="1:11" ht="15.5" x14ac:dyDescent="0.35">
      <c r="A8" s="13" t="s">
        <v>65</v>
      </c>
      <c r="B8" t="s">
        <v>66</v>
      </c>
      <c r="C8" t="s">
        <v>67</v>
      </c>
      <c r="D8" t="s">
        <v>68</v>
      </c>
      <c r="E8" t="s">
        <v>43</v>
      </c>
      <c r="J8" s="1"/>
    </row>
    <row r="9" spans="1:11" ht="15.5" x14ac:dyDescent="0.35">
      <c r="A9" s="13" t="s">
        <v>69</v>
      </c>
      <c r="B9" t="s">
        <v>70</v>
      </c>
      <c r="C9" t="s">
        <v>71</v>
      </c>
      <c r="D9" t="s">
        <v>72</v>
      </c>
      <c r="E9" t="s">
        <v>47</v>
      </c>
      <c r="J9" s="1"/>
    </row>
    <row r="10" spans="1:11" ht="15.5" x14ac:dyDescent="0.35">
      <c r="A10" s="13" t="s">
        <v>73</v>
      </c>
      <c r="B10" t="s">
        <v>74</v>
      </c>
      <c r="C10" t="s">
        <v>75</v>
      </c>
      <c r="D10" t="s">
        <v>76</v>
      </c>
      <c r="E10" t="s">
        <v>47</v>
      </c>
      <c r="J10" s="1"/>
    </row>
    <row r="11" spans="1:11" ht="15.5" x14ac:dyDescent="0.35">
      <c r="A11" s="13" t="s">
        <v>77</v>
      </c>
      <c r="B11" t="s">
        <v>78</v>
      </c>
      <c r="C11" t="s">
        <v>79</v>
      </c>
      <c r="D11" t="s">
        <v>80</v>
      </c>
      <c r="E11" t="s">
        <v>43</v>
      </c>
      <c r="J11" s="1"/>
    </row>
    <row r="12" spans="1:11" ht="15.5" x14ac:dyDescent="0.35">
      <c r="A12" s="13" t="s">
        <v>81</v>
      </c>
      <c r="B12" t="s">
        <v>82</v>
      </c>
      <c r="C12" t="s">
        <v>83</v>
      </c>
      <c r="D12" t="s">
        <v>84</v>
      </c>
      <c r="E12" t="s">
        <v>43</v>
      </c>
      <c r="J12" s="1"/>
      <c r="K12" s="2"/>
    </row>
    <row r="13" spans="1:11" ht="15.5" x14ac:dyDescent="0.35">
      <c r="A13" s="13" t="s">
        <v>85</v>
      </c>
      <c r="B13" t="s">
        <v>86</v>
      </c>
      <c r="C13" t="s">
        <v>87</v>
      </c>
      <c r="D13" t="s">
        <v>88</v>
      </c>
      <c r="E13" t="s">
        <v>47</v>
      </c>
      <c r="J13" s="1"/>
    </row>
    <row r="14" spans="1:11" ht="15.5" x14ac:dyDescent="0.35">
      <c r="A14" s="13" t="s">
        <v>89</v>
      </c>
      <c r="B14" t="s">
        <v>90</v>
      </c>
      <c r="C14" t="s">
        <v>91</v>
      </c>
      <c r="D14" t="s">
        <v>92</v>
      </c>
      <c r="E14" t="s">
        <v>43</v>
      </c>
      <c r="J14" s="1"/>
    </row>
    <row r="15" spans="1:11" x14ac:dyDescent="0.35">
      <c r="A15" s="13" t="s">
        <v>93</v>
      </c>
      <c r="B15" t="s">
        <v>94</v>
      </c>
      <c r="C15" t="s">
        <v>95</v>
      </c>
      <c r="D15" t="s">
        <v>96</v>
      </c>
      <c r="E15" t="s">
        <v>43</v>
      </c>
    </row>
    <row r="16" spans="1:11" x14ac:dyDescent="0.35">
      <c r="A16" s="13" t="s">
        <v>97</v>
      </c>
      <c r="B16" t="s">
        <v>98</v>
      </c>
      <c r="C16" t="s">
        <v>99</v>
      </c>
      <c r="D16" t="s">
        <v>100</v>
      </c>
      <c r="E16" t="s">
        <v>56</v>
      </c>
    </row>
    <row r="17" spans="1:5" x14ac:dyDescent="0.35">
      <c r="A17" s="13" t="s">
        <v>101</v>
      </c>
      <c r="B17" t="s">
        <v>102</v>
      </c>
      <c r="C17" t="s">
        <v>103</v>
      </c>
      <c r="D17" t="s">
        <v>104</v>
      </c>
      <c r="E17" t="s">
        <v>47</v>
      </c>
    </row>
    <row r="18" spans="1:5" x14ac:dyDescent="0.35">
      <c r="A18" s="13" t="s">
        <v>105</v>
      </c>
      <c r="B18" t="s">
        <v>106</v>
      </c>
      <c r="C18" t="s">
        <v>107</v>
      </c>
      <c r="D18" t="s">
        <v>108</v>
      </c>
      <c r="E18" t="s">
        <v>43</v>
      </c>
    </row>
    <row r="19" spans="1:5" x14ac:dyDescent="0.35">
      <c r="A19" s="13" t="s">
        <v>109</v>
      </c>
      <c r="B19" t="s">
        <v>110</v>
      </c>
      <c r="C19" t="s">
        <v>111</v>
      </c>
      <c r="D19" t="s">
        <v>112</v>
      </c>
      <c r="E19" t="s">
        <v>43</v>
      </c>
    </row>
    <row r="20" spans="1:5" x14ac:dyDescent="0.35">
      <c r="A20" s="13" t="s">
        <v>113</v>
      </c>
      <c r="B20" t="s">
        <v>114</v>
      </c>
      <c r="C20" t="s">
        <v>115</v>
      </c>
      <c r="D20" t="s">
        <v>116</v>
      </c>
      <c r="E20" t="s">
        <v>56</v>
      </c>
    </row>
    <row r="21" spans="1:5" x14ac:dyDescent="0.35">
      <c r="A21" s="13" t="s">
        <v>117</v>
      </c>
      <c r="B21" t="s">
        <v>118</v>
      </c>
      <c r="C21" t="s">
        <v>119</v>
      </c>
      <c r="D21" t="s">
        <v>120</v>
      </c>
      <c r="E21" t="s">
        <v>47</v>
      </c>
    </row>
    <row r="22" spans="1:5" x14ac:dyDescent="0.35">
      <c r="A22" s="13" t="s">
        <v>121</v>
      </c>
      <c r="B22" t="s">
        <v>122</v>
      </c>
      <c r="C22" t="s">
        <v>123</v>
      </c>
      <c r="D22" t="s">
        <v>124</v>
      </c>
      <c r="E22" t="s">
        <v>43</v>
      </c>
    </row>
    <row r="23" spans="1:5" x14ac:dyDescent="0.35">
      <c r="A23" s="13" t="s">
        <v>125</v>
      </c>
      <c r="B23" t="s">
        <v>74</v>
      </c>
      <c r="C23" t="s">
        <v>62</v>
      </c>
      <c r="D23" t="s">
        <v>126</v>
      </c>
      <c r="E23" t="s">
        <v>47</v>
      </c>
    </row>
    <row r="24" spans="1:5" x14ac:dyDescent="0.35">
      <c r="A24" s="13" t="s">
        <v>127</v>
      </c>
      <c r="B24" t="s">
        <v>128</v>
      </c>
      <c r="C24" t="s">
        <v>129</v>
      </c>
      <c r="D24" t="s">
        <v>130</v>
      </c>
      <c r="E24" t="s">
        <v>47</v>
      </c>
    </row>
    <row r="25" spans="1:5" x14ac:dyDescent="0.35">
      <c r="A25" s="13" t="s">
        <v>131</v>
      </c>
      <c r="B25" t="s">
        <v>132</v>
      </c>
      <c r="C25" t="s">
        <v>133</v>
      </c>
      <c r="D25" t="s">
        <v>134</v>
      </c>
      <c r="E25" t="s">
        <v>43</v>
      </c>
    </row>
    <row r="26" spans="1:5" x14ac:dyDescent="0.35">
      <c r="A26" s="13" t="s">
        <v>135</v>
      </c>
      <c r="B26" t="s">
        <v>136</v>
      </c>
      <c r="C26" t="s">
        <v>137</v>
      </c>
      <c r="D26" t="s">
        <v>138</v>
      </c>
      <c r="E26" t="s">
        <v>43</v>
      </c>
    </row>
    <row r="27" spans="1:5" x14ac:dyDescent="0.35">
      <c r="A27" s="13" t="s">
        <v>139</v>
      </c>
      <c r="B27" t="s">
        <v>70</v>
      </c>
      <c r="C27" t="s">
        <v>71</v>
      </c>
      <c r="D27" t="s">
        <v>140</v>
      </c>
      <c r="E27" t="s">
        <v>47</v>
      </c>
    </row>
    <row r="28" spans="1:5" x14ac:dyDescent="0.35">
      <c r="A28" s="13" t="s">
        <v>141</v>
      </c>
      <c r="B28" t="s">
        <v>142</v>
      </c>
      <c r="C28" t="s">
        <v>143</v>
      </c>
      <c r="D28" t="s">
        <v>144</v>
      </c>
      <c r="E28" t="s">
        <v>43</v>
      </c>
    </row>
    <row r="29" spans="1:5" x14ac:dyDescent="0.35">
      <c r="A29" s="13" t="s">
        <v>1</v>
      </c>
      <c r="B29" t="s">
        <v>145</v>
      </c>
      <c r="C29" t="s">
        <v>146</v>
      </c>
      <c r="D29" t="s">
        <v>147</v>
      </c>
      <c r="E29" t="s">
        <v>47</v>
      </c>
    </row>
    <row r="30" spans="1:5" x14ac:dyDescent="0.35">
      <c r="A30" s="13" t="s">
        <v>148</v>
      </c>
      <c r="B30" t="s">
        <v>149</v>
      </c>
      <c r="C30" t="s">
        <v>150</v>
      </c>
      <c r="D30" t="s">
        <v>151</v>
      </c>
      <c r="E30" t="s">
        <v>47</v>
      </c>
    </row>
    <row r="31" spans="1:5" x14ac:dyDescent="0.35">
      <c r="A31" s="13" t="s">
        <v>152</v>
      </c>
      <c r="B31" t="s">
        <v>153</v>
      </c>
      <c r="C31" t="s">
        <v>154</v>
      </c>
      <c r="D31" t="s">
        <v>155</v>
      </c>
      <c r="E31" t="s">
        <v>56</v>
      </c>
    </row>
    <row r="32" spans="1:5" x14ac:dyDescent="0.35">
      <c r="A32" s="13" t="s">
        <v>156</v>
      </c>
      <c r="B32" t="s">
        <v>70</v>
      </c>
      <c r="C32" t="s">
        <v>157</v>
      </c>
      <c r="D32" t="s">
        <v>158</v>
      </c>
      <c r="E32" t="s">
        <v>47</v>
      </c>
    </row>
    <row r="33" spans="1:5" x14ac:dyDescent="0.35">
      <c r="A33" s="13" t="s">
        <v>159</v>
      </c>
      <c r="B33" t="s">
        <v>114</v>
      </c>
      <c r="C33" t="s">
        <v>160</v>
      </c>
      <c r="D33" t="s">
        <v>161</v>
      </c>
      <c r="E33" t="s">
        <v>56</v>
      </c>
    </row>
    <row r="34" spans="1:5" x14ac:dyDescent="0.35">
      <c r="A34" s="13" t="s">
        <v>162</v>
      </c>
      <c r="B34" t="s">
        <v>163</v>
      </c>
      <c r="C34" t="s">
        <v>164</v>
      </c>
      <c r="D34" t="s">
        <v>165</v>
      </c>
      <c r="E34" t="s">
        <v>43</v>
      </c>
    </row>
    <row r="35" spans="1:5" x14ac:dyDescent="0.35">
      <c r="A35" s="13" t="s">
        <v>166</v>
      </c>
      <c r="B35" t="s">
        <v>167</v>
      </c>
      <c r="C35" t="s">
        <v>168</v>
      </c>
      <c r="D35" t="s">
        <v>169</v>
      </c>
      <c r="E35" t="s">
        <v>47</v>
      </c>
    </row>
    <row r="36" spans="1:5" x14ac:dyDescent="0.35">
      <c r="A36" s="13" t="s">
        <v>170</v>
      </c>
      <c r="B36" t="s">
        <v>171</v>
      </c>
      <c r="C36" t="s">
        <v>172</v>
      </c>
      <c r="D36" t="s">
        <v>173</v>
      </c>
      <c r="E36" t="s">
        <v>43</v>
      </c>
    </row>
    <row r="37" spans="1:5" x14ac:dyDescent="0.35">
      <c r="A37" s="13" t="s">
        <v>174</v>
      </c>
      <c r="B37" t="s">
        <v>175</v>
      </c>
      <c r="C37" t="s">
        <v>176</v>
      </c>
      <c r="D37" t="s">
        <v>177</v>
      </c>
      <c r="E37" t="s">
        <v>47</v>
      </c>
    </row>
    <row r="38" spans="1:5" x14ac:dyDescent="0.35">
      <c r="A38" s="13" t="s">
        <v>178</v>
      </c>
      <c r="B38" t="s">
        <v>179</v>
      </c>
      <c r="C38" t="s">
        <v>180</v>
      </c>
      <c r="D38" t="s">
        <v>181</v>
      </c>
      <c r="E38" t="s">
        <v>43</v>
      </c>
    </row>
    <row r="39" spans="1:5" x14ac:dyDescent="0.35">
      <c r="A39" s="13" t="s">
        <v>182</v>
      </c>
      <c r="B39" t="s">
        <v>183</v>
      </c>
      <c r="C39" t="s">
        <v>184</v>
      </c>
      <c r="D39" t="s">
        <v>185</v>
      </c>
      <c r="E39" t="s">
        <v>56</v>
      </c>
    </row>
    <row r="40" spans="1:5" x14ac:dyDescent="0.35">
      <c r="A40" s="13" t="s">
        <v>186</v>
      </c>
      <c r="B40" t="s">
        <v>187</v>
      </c>
      <c r="C40" t="s">
        <v>188</v>
      </c>
      <c r="D40" t="s">
        <v>189</v>
      </c>
      <c r="E40" t="s">
        <v>47</v>
      </c>
    </row>
    <row r="41" spans="1:5" x14ac:dyDescent="0.35">
      <c r="A41" s="13" t="s">
        <v>190</v>
      </c>
      <c r="B41" t="s">
        <v>136</v>
      </c>
      <c r="C41" t="s">
        <v>137</v>
      </c>
      <c r="D41" t="s">
        <v>191</v>
      </c>
      <c r="E41" t="s">
        <v>43</v>
      </c>
    </row>
    <row r="42" spans="1:5" x14ac:dyDescent="0.35">
      <c r="A42" s="13" t="s">
        <v>192</v>
      </c>
      <c r="B42" t="s">
        <v>193</v>
      </c>
      <c r="C42" t="s">
        <v>194</v>
      </c>
      <c r="D42" t="s">
        <v>195</v>
      </c>
      <c r="E42" t="s">
        <v>43</v>
      </c>
    </row>
    <row r="43" spans="1:5" x14ac:dyDescent="0.35">
      <c r="A43" s="13" t="s">
        <v>196</v>
      </c>
      <c r="B43" t="s">
        <v>98</v>
      </c>
      <c r="C43" t="s">
        <v>197</v>
      </c>
      <c r="D43" t="s">
        <v>198</v>
      </c>
      <c r="E43" t="s">
        <v>56</v>
      </c>
    </row>
    <row r="44" spans="1:5" x14ac:dyDescent="0.35">
      <c r="A44" s="13" t="s">
        <v>199</v>
      </c>
      <c r="B44" t="s">
        <v>200</v>
      </c>
      <c r="C44" t="s">
        <v>200</v>
      </c>
      <c r="D44" t="s">
        <v>201</v>
      </c>
      <c r="E44" t="s">
        <v>43</v>
      </c>
    </row>
    <row r="45" spans="1:5" x14ac:dyDescent="0.35">
      <c r="A45" s="13" t="s">
        <v>202</v>
      </c>
      <c r="B45" t="s">
        <v>203</v>
      </c>
      <c r="C45" t="s">
        <v>204</v>
      </c>
      <c r="D45" t="s">
        <v>205</v>
      </c>
      <c r="E45" t="s">
        <v>56</v>
      </c>
    </row>
    <row r="46" spans="1:5" x14ac:dyDescent="0.35">
      <c r="A46" s="13" t="s">
        <v>206</v>
      </c>
      <c r="B46" t="s">
        <v>207</v>
      </c>
      <c r="C46" t="s">
        <v>208</v>
      </c>
      <c r="D46" t="s">
        <v>209</v>
      </c>
      <c r="E46" t="s">
        <v>56</v>
      </c>
    </row>
    <row r="47" spans="1:5" x14ac:dyDescent="0.35">
      <c r="A47" s="13" t="s">
        <v>210</v>
      </c>
      <c r="B47" t="s">
        <v>211</v>
      </c>
      <c r="C47" t="s">
        <v>212</v>
      </c>
      <c r="D47" t="s">
        <v>213</v>
      </c>
      <c r="E47" t="s">
        <v>43</v>
      </c>
    </row>
    <row r="48" spans="1:5" x14ac:dyDescent="0.35">
      <c r="A48" s="13" t="s">
        <v>214</v>
      </c>
      <c r="B48" t="s">
        <v>215</v>
      </c>
      <c r="C48" t="s">
        <v>216</v>
      </c>
      <c r="D48" t="s">
        <v>217</v>
      </c>
      <c r="E48" t="s">
        <v>43</v>
      </c>
    </row>
    <row r="49" spans="1:5" x14ac:dyDescent="0.35">
      <c r="A49" s="13" t="s">
        <v>218</v>
      </c>
      <c r="B49" t="s">
        <v>219</v>
      </c>
      <c r="C49" t="s">
        <v>220</v>
      </c>
      <c r="D49" t="s">
        <v>221</v>
      </c>
      <c r="E49" t="s">
        <v>56</v>
      </c>
    </row>
    <row r="50" spans="1:5" x14ac:dyDescent="0.35">
      <c r="A50" s="13" t="s">
        <v>222</v>
      </c>
      <c r="B50" t="s">
        <v>223</v>
      </c>
      <c r="C50" t="s">
        <v>224</v>
      </c>
      <c r="D50" t="s">
        <v>225</v>
      </c>
      <c r="E50" t="s">
        <v>56</v>
      </c>
    </row>
    <row r="51" spans="1:5" x14ac:dyDescent="0.35">
      <c r="A51" s="13" t="s">
        <v>226</v>
      </c>
      <c r="B51" t="s">
        <v>227</v>
      </c>
      <c r="C51" t="s">
        <v>228</v>
      </c>
      <c r="D51" t="s">
        <v>229</v>
      </c>
      <c r="E51" t="s">
        <v>43</v>
      </c>
    </row>
    <row r="52" spans="1:5" x14ac:dyDescent="0.35">
      <c r="A52" s="13" t="s">
        <v>230</v>
      </c>
      <c r="B52" t="s">
        <v>231</v>
      </c>
      <c r="C52" t="s">
        <v>232</v>
      </c>
      <c r="D52" t="s">
        <v>233</v>
      </c>
      <c r="E52" t="s">
        <v>43</v>
      </c>
    </row>
    <row r="53" spans="1:5" x14ac:dyDescent="0.35">
      <c r="A53" s="13" t="s">
        <v>234</v>
      </c>
      <c r="B53" t="s">
        <v>235</v>
      </c>
      <c r="C53" t="s">
        <v>236</v>
      </c>
      <c r="D53" t="s">
        <v>237</v>
      </c>
      <c r="E53" t="s">
        <v>43</v>
      </c>
    </row>
    <row r="54" spans="1:5" x14ac:dyDescent="0.35">
      <c r="A54" s="13" t="s">
        <v>238</v>
      </c>
      <c r="B54" t="s">
        <v>239</v>
      </c>
      <c r="C54" t="s">
        <v>240</v>
      </c>
      <c r="D54" t="s">
        <v>241</v>
      </c>
      <c r="E54" t="s">
        <v>43</v>
      </c>
    </row>
    <row r="55" spans="1:5" x14ac:dyDescent="0.35">
      <c r="A55" s="13" t="s">
        <v>242</v>
      </c>
      <c r="B55" t="s">
        <v>98</v>
      </c>
      <c r="C55" t="s">
        <v>197</v>
      </c>
      <c r="D55" t="s">
        <v>243</v>
      </c>
      <c r="E55" t="s">
        <v>56</v>
      </c>
    </row>
    <row r="56" spans="1:5" x14ac:dyDescent="0.35">
      <c r="A56" s="13" t="s">
        <v>244</v>
      </c>
      <c r="B56" t="s">
        <v>245</v>
      </c>
      <c r="C56" t="s">
        <v>78</v>
      </c>
      <c r="D56" t="s">
        <v>246</v>
      </c>
      <c r="E56" t="s">
        <v>56</v>
      </c>
    </row>
    <row r="57" spans="1:5" x14ac:dyDescent="0.35">
      <c r="A57" s="13" t="s">
        <v>247</v>
      </c>
      <c r="B57" t="s">
        <v>248</v>
      </c>
      <c r="C57" t="s">
        <v>249</v>
      </c>
      <c r="D57" t="s">
        <v>250</v>
      </c>
      <c r="E57" t="s">
        <v>47</v>
      </c>
    </row>
    <row r="58" spans="1:5" x14ac:dyDescent="0.35">
      <c r="A58" s="13" t="s">
        <v>251</v>
      </c>
      <c r="B58" t="s">
        <v>252</v>
      </c>
      <c r="C58" t="s">
        <v>253</v>
      </c>
      <c r="D58" t="s">
        <v>254</v>
      </c>
      <c r="E58" t="s">
        <v>47</v>
      </c>
    </row>
    <row r="59" spans="1:5" x14ac:dyDescent="0.35">
      <c r="A59" s="13" t="s">
        <v>255</v>
      </c>
      <c r="B59" t="s">
        <v>256</v>
      </c>
      <c r="C59" t="s">
        <v>257</v>
      </c>
      <c r="D59" t="s">
        <v>258</v>
      </c>
      <c r="E59" t="s">
        <v>47</v>
      </c>
    </row>
    <row r="60" spans="1:5" x14ac:dyDescent="0.35">
      <c r="A60" s="13" t="s">
        <v>259</v>
      </c>
      <c r="B60" t="s">
        <v>239</v>
      </c>
      <c r="C60" t="s">
        <v>260</v>
      </c>
      <c r="D60" t="s">
        <v>261</v>
      </c>
      <c r="E60" t="s">
        <v>43</v>
      </c>
    </row>
    <row r="61" spans="1:5" x14ac:dyDescent="0.35">
      <c r="A61" s="13" t="s">
        <v>262</v>
      </c>
      <c r="B61" t="s">
        <v>263</v>
      </c>
      <c r="C61" t="s">
        <v>264</v>
      </c>
      <c r="D61" t="s">
        <v>265</v>
      </c>
      <c r="E61" t="s">
        <v>43</v>
      </c>
    </row>
    <row r="62" spans="1:5" x14ac:dyDescent="0.35">
      <c r="A62" s="13" t="s">
        <v>266</v>
      </c>
      <c r="B62" t="s">
        <v>98</v>
      </c>
      <c r="C62" t="s">
        <v>99</v>
      </c>
      <c r="D62" t="s">
        <v>267</v>
      </c>
      <c r="E62" t="s">
        <v>56</v>
      </c>
    </row>
    <row r="63" spans="1:5" x14ac:dyDescent="0.35">
      <c r="A63" s="13" t="s">
        <v>268</v>
      </c>
      <c r="B63" t="s">
        <v>269</v>
      </c>
      <c r="C63" t="s">
        <v>270</v>
      </c>
      <c r="D63" t="s">
        <v>271</v>
      </c>
      <c r="E63" t="s">
        <v>56</v>
      </c>
    </row>
    <row r="64" spans="1:5" x14ac:dyDescent="0.35">
      <c r="A64" s="13" t="s">
        <v>272</v>
      </c>
      <c r="B64" t="s">
        <v>273</v>
      </c>
      <c r="C64" t="s">
        <v>274</v>
      </c>
      <c r="D64" t="s">
        <v>275</v>
      </c>
      <c r="E64" t="s">
        <v>56</v>
      </c>
    </row>
    <row r="65" spans="1:5" x14ac:dyDescent="0.35">
      <c r="A65" s="13" t="s">
        <v>276</v>
      </c>
      <c r="B65" t="s">
        <v>277</v>
      </c>
      <c r="C65" t="s">
        <v>278</v>
      </c>
      <c r="D65" t="s">
        <v>279</v>
      </c>
      <c r="E65" t="s">
        <v>47</v>
      </c>
    </row>
    <row r="66" spans="1:5" x14ac:dyDescent="0.35">
      <c r="A66" s="13" t="s">
        <v>280</v>
      </c>
      <c r="B66" t="s">
        <v>281</v>
      </c>
      <c r="C66" t="s">
        <v>282</v>
      </c>
      <c r="D66" t="s">
        <v>283</v>
      </c>
      <c r="E66" t="s">
        <v>43</v>
      </c>
    </row>
    <row r="67" spans="1:5" x14ac:dyDescent="0.35">
      <c r="A67" s="13" t="s">
        <v>284</v>
      </c>
      <c r="B67" t="s">
        <v>285</v>
      </c>
      <c r="C67" t="s">
        <v>286</v>
      </c>
      <c r="D67" t="s">
        <v>287</v>
      </c>
      <c r="E67" t="s">
        <v>47</v>
      </c>
    </row>
    <row r="68" spans="1:5" x14ac:dyDescent="0.35">
      <c r="A68" s="13" t="s">
        <v>288</v>
      </c>
      <c r="B68" t="s">
        <v>289</v>
      </c>
      <c r="C68" t="s">
        <v>290</v>
      </c>
      <c r="D68" t="s">
        <v>291</v>
      </c>
      <c r="E68" t="s">
        <v>47</v>
      </c>
    </row>
    <row r="69" spans="1:5" x14ac:dyDescent="0.35">
      <c r="A69" s="13" t="s">
        <v>292</v>
      </c>
      <c r="B69" t="s">
        <v>293</v>
      </c>
      <c r="C69" t="s">
        <v>294</v>
      </c>
      <c r="D69" t="s">
        <v>295</v>
      </c>
      <c r="E69" t="s">
        <v>47</v>
      </c>
    </row>
    <row r="70" spans="1:5" x14ac:dyDescent="0.35">
      <c r="A70" s="13" t="s">
        <v>296</v>
      </c>
      <c r="B70" t="s">
        <v>297</v>
      </c>
      <c r="C70" t="s">
        <v>298</v>
      </c>
      <c r="D70" t="s">
        <v>299</v>
      </c>
      <c r="E70" t="s">
        <v>56</v>
      </c>
    </row>
    <row r="71" spans="1:5" x14ac:dyDescent="0.35">
      <c r="A71" s="13" t="s">
        <v>300</v>
      </c>
      <c r="B71" t="s">
        <v>301</v>
      </c>
      <c r="C71" t="s">
        <v>302</v>
      </c>
      <c r="D71" t="s">
        <v>303</v>
      </c>
      <c r="E71" t="s">
        <v>43</v>
      </c>
    </row>
    <row r="72" spans="1:5" x14ac:dyDescent="0.35">
      <c r="A72" s="13" t="s">
        <v>304</v>
      </c>
      <c r="B72" t="s">
        <v>110</v>
      </c>
      <c r="C72" t="s">
        <v>305</v>
      </c>
      <c r="D72" t="s">
        <v>306</v>
      </c>
      <c r="E72" t="s">
        <v>43</v>
      </c>
    </row>
    <row r="73" spans="1:5" x14ac:dyDescent="0.35">
      <c r="A73" s="13" t="s">
        <v>307</v>
      </c>
      <c r="B73" t="s">
        <v>308</v>
      </c>
      <c r="C73" t="s">
        <v>309</v>
      </c>
      <c r="D73" t="s">
        <v>310</v>
      </c>
      <c r="E73" t="s">
        <v>56</v>
      </c>
    </row>
    <row r="74" spans="1:5" x14ac:dyDescent="0.35">
      <c r="A74" s="13" t="s">
        <v>311</v>
      </c>
      <c r="B74" t="s">
        <v>223</v>
      </c>
      <c r="C74" t="s">
        <v>312</v>
      </c>
      <c r="D74" t="s">
        <v>313</v>
      </c>
      <c r="E74" t="s">
        <v>56</v>
      </c>
    </row>
    <row r="75" spans="1:5" x14ac:dyDescent="0.35">
      <c r="A75" s="13" t="s">
        <v>314</v>
      </c>
      <c r="B75" t="s">
        <v>315</v>
      </c>
      <c r="C75" t="s">
        <v>316</v>
      </c>
      <c r="D75" t="s">
        <v>317</v>
      </c>
      <c r="E75" t="s">
        <v>43</v>
      </c>
    </row>
    <row r="76" spans="1:5" x14ac:dyDescent="0.35">
      <c r="A76" s="13" t="s">
        <v>318</v>
      </c>
      <c r="B76" t="s">
        <v>319</v>
      </c>
      <c r="C76" t="s">
        <v>320</v>
      </c>
      <c r="D76" t="s">
        <v>321</v>
      </c>
      <c r="E76" t="s">
        <v>47</v>
      </c>
    </row>
    <row r="77" spans="1:5" x14ac:dyDescent="0.35">
      <c r="A77" s="13" t="s">
        <v>322</v>
      </c>
      <c r="B77" t="s">
        <v>323</v>
      </c>
      <c r="C77" t="s">
        <v>150</v>
      </c>
      <c r="D77" t="s">
        <v>324</v>
      </c>
      <c r="E77" t="s">
        <v>47</v>
      </c>
    </row>
    <row r="78" spans="1:5" x14ac:dyDescent="0.35">
      <c r="A78" s="13" t="s">
        <v>325</v>
      </c>
      <c r="B78" t="s">
        <v>326</v>
      </c>
      <c r="C78" t="s">
        <v>327</v>
      </c>
      <c r="D78" t="s">
        <v>328</v>
      </c>
      <c r="E78" t="s">
        <v>56</v>
      </c>
    </row>
    <row r="79" spans="1:5" x14ac:dyDescent="0.35">
      <c r="A79" s="13" t="s">
        <v>329</v>
      </c>
      <c r="B79" t="s">
        <v>132</v>
      </c>
      <c r="C79" t="s">
        <v>330</v>
      </c>
      <c r="D79" t="s">
        <v>331</v>
      </c>
      <c r="E79" t="s">
        <v>43</v>
      </c>
    </row>
    <row r="80" spans="1:5" x14ac:dyDescent="0.35">
      <c r="A80" s="13" t="s">
        <v>332</v>
      </c>
      <c r="B80" t="s">
        <v>82</v>
      </c>
      <c r="C80" t="s">
        <v>333</v>
      </c>
      <c r="D80" t="s">
        <v>334</v>
      </c>
      <c r="E80"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4C49-DF59-49B0-949D-F3085B56E59A}">
  <sheetPr codeName="Sheet3"/>
  <dimension ref="A1:F16"/>
  <sheetViews>
    <sheetView tabSelected="1" zoomScaleNormal="100" workbookViewId="0"/>
  </sheetViews>
  <sheetFormatPr defaultRowHeight="14.5" x14ac:dyDescent="0.35"/>
  <cols>
    <col min="1" max="1" width="36" bestFit="1" customWidth="1"/>
    <col min="2" max="2" width="14.81640625" style="16" bestFit="1" customWidth="1"/>
    <col min="3" max="3" width="37.81640625" bestFit="1" customWidth="1"/>
    <col min="4" max="4" width="62" bestFit="1" customWidth="1"/>
    <col min="5" max="5" width="15.54296875" bestFit="1" customWidth="1"/>
    <col min="6" max="6" width="34.453125" bestFit="1" customWidth="1"/>
  </cols>
  <sheetData>
    <row r="1" spans="1:6" ht="23.5" x14ac:dyDescent="0.35">
      <c r="A1" s="11" t="s">
        <v>335</v>
      </c>
      <c r="B1" s="11" t="s">
        <v>36</v>
      </c>
      <c r="C1" s="11" t="s">
        <v>37</v>
      </c>
      <c r="D1" s="11" t="s">
        <v>336</v>
      </c>
      <c r="E1" s="11" t="s">
        <v>337</v>
      </c>
      <c r="F1" s="151" t="s">
        <v>338</v>
      </c>
    </row>
    <row r="2" spans="1:6" x14ac:dyDescent="0.35">
      <c r="A2" s="82" t="s">
        <v>39</v>
      </c>
      <c r="B2" s="85" t="s">
        <v>41</v>
      </c>
      <c r="C2" s="16" t="s">
        <v>381</v>
      </c>
      <c r="D2" s="16" t="s">
        <v>382</v>
      </c>
      <c r="E2" s="154" t="s">
        <v>383</v>
      </c>
      <c r="F2" s="85" t="s">
        <v>384</v>
      </c>
    </row>
    <row r="3" spans="1:6" x14ac:dyDescent="0.35">
      <c r="A3" s="82" t="s">
        <v>77</v>
      </c>
      <c r="B3" s="16" t="s">
        <v>79</v>
      </c>
      <c r="C3" s="16" t="s">
        <v>339</v>
      </c>
      <c r="D3" s="84" t="s">
        <v>340</v>
      </c>
      <c r="E3" s="92" t="s">
        <v>355</v>
      </c>
      <c r="F3" s="92" t="s">
        <v>355</v>
      </c>
    </row>
    <row r="4" spans="1:6" x14ac:dyDescent="0.35">
      <c r="A4" s="82" t="s">
        <v>93</v>
      </c>
      <c r="B4" s="16" t="s">
        <v>95</v>
      </c>
      <c r="C4" s="16" t="s">
        <v>341</v>
      </c>
      <c r="D4" s="16" t="s">
        <v>342</v>
      </c>
      <c r="E4" s="83" t="s">
        <v>343</v>
      </c>
      <c r="F4" s="157" t="s">
        <v>344</v>
      </c>
    </row>
    <row r="5" spans="1:6" x14ac:dyDescent="0.35">
      <c r="A5" s="82" t="s">
        <v>159</v>
      </c>
      <c r="B5" s="16" t="s">
        <v>160</v>
      </c>
      <c r="C5" s="16" t="s">
        <v>345</v>
      </c>
      <c r="D5" s="16" t="s">
        <v>346</v>
      </c>
      <c r="E5" s="100" t="s">
        <v>347</v>
      </c>
      <c r="F5" s="157" t="s">
        <v>348</v>
      </c>
    </row>
    <row r="6" spans="1:6" x14ac:dyDescent="0.35">
      <c r="A6" s="82" t="s">
        <v>190</v>
      </c>
      <c r="B6" s="16" t="s">
        <v>137</v>
      </c>
      <c r="C6" s="16" t="s">
        <v>353</v>
      </c>
      <c r="D6" s="16" t="s">
        <v>354</v>
      </c>
      <c r="E6" s="92" t="s">
        <v>355</v>
      </c>
      <c r="F6" s="16" t="s">
        <v>356</v>
      </c>
    </row>
    <row r="7" spans="1:6" x14ac:dyDescent="0.35">
      <c r="A7" s="82" t="s">
        <v>192</v>
      </c>
      <c r="B7" s="16" t="s">
        <v>194</v>
      </c>
      <c r="C7" s="16" t="s">
        <v>349</v>
      </c>
      <c r="D7" s="16" t="s">
        <v>350</v>
      </c>
      <c r="E7" s="16" t="s">
        <v>351</v>
      </c>
      <c r="F7" s="16" t="s">
        <v>352</v>
      </c>
    </row>
    <row r="8" spans="1:6" x14ac:dyDescent="0.35">
      <c r="A8" s="82" t="s">
        <v>226</v>
      </c>
      <c r="B8" s="85" t="s">
        <v>228</v>
      </c>
      <c r="C8" s="16" t="s">
        <v>379</v>
      </c>
      <c r="D8" s="16" t="s">
        <v>1310</v>
      </c>
      <c r="E8" s="16" t="s">
        <v>380</v>
      </c>
      <c r="F8" s="92" t="s">
        <v>355</v>
      </c>
    </row>
    <row r="9" spans="1:6" x14ac:dyDescent="0.35">
      <c r="A9" s="82" t="s">
        <v>230</v>
      </c>
      <c r="B9" s="16" t="s">
        <v>232</v>
      </c>
      <c r="C9" s="16" t="s">
        <v>357</v>
      </c>
      <c r="D9" s="16" t="s">
        <v>358</v>
      </c>
      <c r="E9" s="83" t="s">
        <v>359</v>
      </c>
      <c r="F9" s="16" t="s">
        <v>360</v>
      </c>
    </row>
    <row r="10" spans="1:6" x14ac:dyDescent="0.35">
      <c r="A10" s="82" t="s">
        <v>244</v>
      </c>
      <c r="B10" s="16" t="s">
        <v>78</v>
      </c>
      <c r="C10" s="16" t="s">
        <v>361</v>
      </c>
      <c r="D10" s="16" t="s">
        <v>362</v>
      </c>
      <c r="E10" s="16" t="s">
        <v>363</v>
      </c>
      <c r="F10" s="16" t="s">
        <v>364</v>
      </c>
    </row>
    <row r="11" spans="1:6" x14ac:dyDescent="0.35">
      <c r="A11" s="82" t="s">
        <v>365</v>
      </c>
      <c r="B11" s="16" t="s">
        <v>78</v>
      </c>
      <c r="C11" s="16" t="s">
        <v>361</v>
      </c>
      <c r="D11" s="84" t="s">
        <v>366</v>
      </c>
      <c r="E11" s="100" t="s">
        <v>367</v>
      </c>
      <c r="F11" s="16" t="s">
        <v>368</v>
      </c>
    </row>
    <row r="12" spans="1:6" x14ac:dyDescent="0.35">
      <c r="A12" s="82" t="s">
        <v>385</v>
      </c>
      <c r="B12" s="85" t="s">
        <v>78</v>
      </c>
      <c r="C12" s="16" t="s">
        <v>361</v>
      </c>
      <c r="D12" s="16" t="s">
        <v>386</v>
      </c>
      <c r="E12" s="16" t="s">
        <v>387</v>
      </c>
      <c r="F12" s="16" t="s">
        <v>388</v>
      </c>
    </row>
    <row r="13" spans="1:6" x14ac:dyDescent="0.35">
      <c r="A13" s="82" t="s">
        <v>389</v>
      </c>
      <c r="B13" s="85" t="s">
        <v>78</v>
      </c>
      <c r="C13" s="16" t="s">
        <v>361</v>
      </c>
      <c r="D13" s="16" t="s">
        <v>390</v>
      </c>
      <c r="E13" s="92" t="s">
        <v>355</v>
      </c>
      <c r="F13" s="92" t="s">
        <v>355</v>
      </c>
    </row>
    <row r="14" spans="1:6" x14ac:dyDescent="0.35">
      <c r="A14" s="80" t="s">
        <v>259</v>
      </c>
      <c r="B14" s="81" t="s">
        <v>260</v>
      </c>
      <c r="C14" s="81" t="s">
        <v>261</v>
      </c>
      <c r="D14" s="81" t="s">
        <v>369</v>
      </c>
      <c r="E14" s="81" t="s">
        <v>370</v>
      </c>
      <c r="F14" s="16" t="s">
        <v>371</v>
      </c>
    </row>
    <row r="15" spans="1:6" x14ac:dyDescent="0.35">
      <c r="A15" s="82" t="s">
        <v>325</v>
      </c>
      <c r="B15" s="85" t="s">
        <v>327</v>
      </c>
      <c r="C15" s="16" t="s">
        <v>372</v>
      </c>
      <c r="D15" s="84" t="s">
        <v>373</v>
      </c>
      <c r="E15" s="100" t="s">
        <v>374</v>
      </c>
      <c r="F15" s="16" t="s">
        <v>375</v>
      </c>
    </row>
    <row r="16" spans="1:6" x14ac:dyDescent="0.35">
      <c r="A16" s="82" t="s">
        <v>332</v>
      </c>
      <c r="B16" s="85" t="s">
        <v>333</v>
      </c>
      <c r="C16" s="16" t="s">
        <v>376</v>
      </c>
      <c r="D16" s="16" t="s">
        <v>377</v>
      </c>
      <c r="E16" s="153" t="s">
        <v>378</v>
      </c>
      <c r="F16" s="16" t="s">
        <v>356</v>
      </c>
    </row>
  </sheetData>
  <hyperlinks>
    <hyperlink ref="A14" location="MQY!A1" display="MQY" xr:uid="{75A0964E-CCFB-4BFA-9489-DB45DF45EEB6}"/>
    <hyperlink ref="A11" location="'MKL(2)'!A1" display="MKL(2)" xr:uid="{8170595E-F72B-4F1F-A5DE-01A3CCCE3F2A}"/>
    <hyperlink ref="A4" location="'2M2'!A1" display="2M2" xr:uid="{F9958786-5D4D-4115-A953-113363DB0570}"/>
    <hyperlink ref="A5" location="FYE!A1" display="FYE" xr:uid="{413BA7BC-E611-4721-97F6-54F823A267AF}"/>
    <hyperlink ref="A7" location="LUG!A1" display="LUG" xr:uid="{182AFDC0-1A37-4B85-AB96-C0DD7CEBF05A}"/>
    <hyperlink ref="A9" location="'M91'!A1" display="M91" xr:uid="{E96DC37C-E17B-473C-86D1-44A03A0278D8}"/>
    <hyperlink ref="A10" location="MKL!A1" display="MKL" xr:uid="{C5455C87-04C7-43DA-B7E6-F96BAC2AC108}"/>
    <hyperlink ref="A15" location="UCY!A1" display="UCY" xr:uid="{3722C193-9A03-4B33-8C14-20F45AFBCA66}"/>
    <hyperlink ref="A16" location="XNX!A1" display="XNX" xr:uid="{3823CB2D-348C-4AEA-9044-004F907C7DC2}"/>
    <hyperlink ref="A6" location="JWN!A1" display="JWN" xr:uid="{4550A42A-F38A-44FB-8177-321E2FE22BB0}"/>
    <hyperlink ref="A3" location="'1A7'!A1" display="1A7" xr:uid="{E92287F2-F097-4836-9BF3-1D2AA007DF8D}"/>
    <hyperlink ref="A8" location="'M54'!A1" display="M54" xr:uid="{7FF996BB-0802-4850-A35E-9FF1A86045C1}"/>
    <hyperlink ref="A2" location="'0A3'!A1" display="0A3" xr:uid="{55AFE860-6631-4572-912A-9CBBCCB16AAF}"/>
    <hyperlink ref="A12" location="'MKL(3)'!A1" display="MKL(3)" xr:uid="{1D015EE5-C283-411C-B203-16D85AF1587C}"/>
    <hyperlink ref="A13" location="'MKL(4)'!A1" display="MKL(4)" xr:uid="{17F5CEE4-BAA9-43A4-A57E-7BE3E3FE8F60}"/>
  </hyperlinks>
  <pageMargins left="0.7" right="0.7" top="0.75" bottom="0.75" header="0.3" footer="0.3"/>
  <pageSetup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5185B-5651-44FA-B9F3-DFF7015E9882}">
  <dimension ref="A1:M42"/>
  <sheetViews>
    <sheetView zoomScale="96" zoomScaleNormal="96" workbookViewId="0">
      <selection activeCell="L12" sqref="L12:M12"/>
    </sheetView>
  </sheetViews>
  <sheetFormatPr defaultRowHeight="14.5" x14ac:dyDescent="0.35"/>
  <cols>
    <col min="1" max="1" width="20.81640625" bestFit="1" customWidth="1"/>
    <col min="2" max="2" width="21.453125" style="32" bestFit="1" customWidth="1"/>
    <col min="3" max="3" width="44.81640625" bestFit="1" customWidth="1"/>
    <col min="4" max="4" width="10" bestFit="1" customWidth="1"/>
    <col min="5" max="5" width="25.54296875" style="6" bestFit="1" customWidth="1"/>
    <col min="6" max="6" width="15" bestFit="1" customWidth="1"/>
    <col min="7" max="7" width="20.81640625" bestFit="1" customWidth="1"/>
    <col min="8" max="8" width="16" bestFit="1" customWidth="1"/>
    <col min="9" max="9" width="22" bestFit="1" customWidth="1"/>
    <col min="10" max="10" width="16" bestFit="1" customWidth="1"/>
    <col min="11" max="11" width="28.7265625" customWidth="1"/>
    <col min="12" max="12" width="16" bestFit="1" customWidth="1"/>
    <col min="13" max="13" width="22" bestFit="1" customWidth="1"/>
    <col min="14" max="15" width="20.54296875" bestFit="1" customWidth="1"/>
  </cols>
  <sheetData>
    <row r="1" spans="1:13" x14ac:dyDescent="0.35">
      <c r="A1" s="14"/>
      <c r="B1" s="29"/>
      <c r="C1" s="14"/>
      <c r="D1" s="14"/>
      <c r="E1" s="16"/>
      <c r="F1" s="14"/>
      <c r="G1" s="14"/>
      <c r="H1" s="14"/>
      <c r="I1" s="14"/>
      <c r="J1" s="14"/>
      <c r="K1" s="14"/>
      <c r="L1" s="14"/>
      <c r="M1" s="14"/>
    </row>
    <row r="2" spans="1:13" x14ac:dyDescent="0.35">
      <c r="A2" s="14"/>
      <c r="B2" s="29"/>
      <c r="C2" s="14"/>
      <c r="D2" s="14"/>
      <c r="E2" s="16"/>
      <c r="F2" s="14"/>
      <c r="G2" s="14"/>
      <c r="H2" s="14"/>
      <c r="I2" s="14"/>
      <c r="J2" s="14"/>
      <c r="K2" s="14"/>
      <c r="L2" s="14"/>
      <c r="M2" s="14"/>
    </row>
    <row r="3" spans="1:13" ht="15.5" x14ac:dyDescent="0.35">
      <c r="A3" s="15" t="s">
        <v>0</v>
      </c>
      <c r="B3" s="29" t="s">
        <v>39</v>
      </c>
      <c r="C3" s="14"/>
      <c r="D3" s="15"/>
      <c r="E3" s="16"/>
      <c r="F3" s="14"/>
      <c r="G3" s="14"/>
      <c r="H3" s="14"/>
      <c r="I3" s="14"/>
      <c r="J3" s="14"/>
      <c r="K3" s="14"/>
      <c r="L3" s="14"/>
      <c r="M3" s="14"/>
    </row>
    <row r="4" spans="1:13" ht="15.5" x14ac:dyDescent="0.35">
      <c r="A4" s="15" t="s">
        <v>2</v>
      </c>
      <c r="B4" s="29" t="str">
        <f>VLOOKUP($B$3,DATA!$A$2:$E$80,3)</f>
        <v>Smithville</v>
      </c>
      <c r="C4" s="14"/>
      <c r="D4" s="15"/>
      <c r="E4" s="16"/>
      <c r="F4" s="14"/>
      <c r="G4" s="14"/>
      <c r="H4" s="14"/>
      <c r="I4" s="14"/>
      <c r="J4" s="14"/>
      <c r="K4" s="14"/>
      <c r="L4" s="14"/>
      <c r="M4" s="14"/>
    </row>
    <row r="5" spans="1:13" ht="15.5" x14ac:dyDescent="0.35">
      <c r="A5" s="15" t="s">
        <v>3</v>
      </c>
      <c r="B5" s="29" t="str">
        <f>VLOOKUP($B$3,DATA!$A$2:$E$80,4)</f>
        <v>Smithville Municipal</v>
      </c>
      <c r="C5" s="14"/>
      <c r="D5" s="15"/>
      <c r="E5" s="16"/>
      <c r="F5" s="14"/>
      <c r="G5" s="14"/>
      <c r="H5" s="14"/>
      <c r="I5" s="14"/>
      <c r="J5" s="14"/>
      <c r="K5" s="14"/>
      <c r="L5" s="14"/>
      <c r="M5" s="14"/>
    </row>
    <row r="6" spans="1:13" ht="15.5" x14ac:dyDescent="0.35">
      <c r="A6" s="15" t="s">
        <v>4</v>
      </c>
      <c r="B6" s="29" t="s">
        <v>382</v>
      </c>
      <c r="C6" s="14"/>
      <c r="D6" s="15"/>
      <c r="E6" s="16"/>
      <c r="F6" s="14"/>
      <c r="G6" s="14"/>
      <c r="H6" s="14"/>
      <c r="I6" s="14"/>
      <c r="J6" s="14"/>
      <c r="K6" s="14"/>
      <c r="L6" s="14"/>
      <c r="M6" s="14"/>
    </row>
    <row r="7" spans="1:13" ht="15.5" x14ac:dyDescent="0.35">
      <c r="A7" s="15" t="s">
        <v>6</v>
      </c>
      <c r="B7" s="153" t="s">
        <v>1268</v>
      </c>
      <c r="C7" s="14"/>
      <c r="D7" s="15"/>
      <c r="E7" s="16"/>
      <c r="F7" s="14"/>
      <c r="G7" s="14"/>
      <c r="H7" s="14"/>
      <c r="I7" s="14"/>
      <c r="J7" s="14"/>
      <c r="K7" s="14"/>
      <c r="L7" s="14"/>
      <c r="M7" s="14"/>
    </row>
    <row r="8" spans="1:13" ht="15.5" x14ac:dyDescent="0.35">
      <c r="A8" s="15" t="s">
        <v>8</v>
      </c>
      <c r="B8" s="30">
        <v>45001</v>
      </c>
      <c r="C8" s="14"/>
      <c r="D8" s="15"/>
      <c r="E8" s="33"/>
      <c r="F8" s="14"/>
      <c r="G8" s="14"/>
      <c r="H8" s="14"/>
      <c r="I8" s="14"/>
      <c r="J8" s="14"/>
      <c r="K8" s="14"/>
      <c r="L8" s="14"/>
      <c r="M8" s="14"/>
    </row>
    <row r="9" spans="1:13" ht="15.5" x14ac:dyDescent="0.35">
      <c r="A9" s="15" t="s">
        <v>9</v>
      </c>
      <c r="B9" s="29" t="str">
        <f>VLOOKUP($B$3,DATA!$A$2:$E$80,2)</f>
        <v>Dekalb</v>
      </c>
      <c r="C9" s="14"/>
      <c r="D9" s="15"/>
      <c r="E9" s="16"/>
      <c r="F9" s="14"/>
      <c r="G9" s="14"/>
      <c r="H9" s="14"/>
      <c r="I9" s="14"/>
      <c r="J9" s="14"/>
      <c r="K9" s="14"/>
      <c r="L9" s="14"/>
      <c r="M9" s="14"/>
    </row>
    <row r="10" spans="1:13" ht="15.5" x14ac:dyDescent="0.35">
      <c r="A10" s="15" t="s">
        <v>10</v>
      </c>
      <c r="B10" s="29" t="str">
        <f>VLOOKUP($B$3,DATA!$A$2:$E$80,5)</f>
        <v>Middle</v>
      </c>
      <c r="C10" s="14"/>
      <c r="D10" s="15"/>
      <c r="E10" s="16"/>
      <c r="F10" s="14"/>
      <c r="G10" s="14"/>
      <c r="H10" s="14"/>
      <c r="I10" s="14"/>
      <c r="J10" s="14"/>
      <c r="K10" s="14"/>
      <c r="L10" s="14"/>
      <c r="M10" s="14"/>
    </row>
    <row r="11" spans="1:13" ht="16" thickBot="1" x14ac:dyDescent="0.4">
      <c r="A11" s="15"/>
      <c r="B11" s="29"/>
      <c r="C11" s="14"/>
      <c r="D11" s="15"/>
      <c r="E11" s="16"/>
      <c r="F11" s="14"/>
      <c r="G11" s="14"/>
      <c r="H11" s="14"/>
      <c r="I11" s="14"/>
      <c r="J11" s="14"/>
      <c r="K11" s="14"/>
      <c r="L11" s="14"/>
      <c r="M11" s="14"/>
    </row>
    <row r="12" spans="1:13" ht="16" thickBot="1" x14ac:dyDescent="0.4">
      <c r="A12" s="173" t="s">
        <v>1269</v>
      </c>
      <c r="B12" s="174"/>
      <c r="C12" s="174"/>
      <c r="D12" s="174"/>
      <c r="E12" s="175"/>
      <c r="F12" s="173" t="s">
        <v>12</v>
      </c>
      <c r="G12" s="175"/>
      <c r="H12" s="173" t="s">
        <v>1299</v>
      </c>
      <c r="I12" s="175"/>
      <c r="J12" s="173" t="s">
        <v>1300</v>
      </c>
      <c r="K12" s="175"/>
      <c r="L12" s="173" t="s">
        <v>1301</v>
      </c>
      <c r="M12" s="175"/>
    </row>
    <row r="13" spans="1:13" x14ac:dyDescent="0.35">
      <c r="A13" s="16" t="s">
        <v>15</v>
      </c>
      <c r="B13" s="23" t="s">
        <v>396</v>
      </c>
      <c r="C13" s="16" t="s">
        <v>17</v>
      </c>
      <c r="D13" s="16" t="s">
        <v>18</v>
      </c>
      <c r="E13" s="16" t="s">
        <v>19</v>
      </c>
      <c r="F13" s="16" t="s">
        <v>20</v>
      </c>
      <c r="G13" s="16" t="s">
        <v>21</v>
      </c>
      <c r="H13" s="16" t="s">
        <v>22</v>
      </c>
      <c r="I13" s="16" t="s">
        <v>23</v>
      </c>
      <c r="J13" s="16" t="s">
        <v>24</v>
      </c>
      <c r="K13" s="16" t="s">
        <v>25</v>
      </c>
      <c r="L13" s="16" t="s">
        <v>581</v>
      </c>
      <c r="M13" s="16" t="s">
        <v>582</v>
      </c>
    </row>
    <row r="14" spans="1:13" x14ac:dyDescent="0.35">
      <c r="A14" s="46">
        <v>1</v>
      </c>
      <c r="B14" s="23" t="s">
        <v>1270</v>
      </c>
      <c r="C14" s="93" t="s">
        <v>1271</v>
      </c>
      <c r="D14" s="16" t="s">
        <v>1272</v>
      </c>
      <c r="E14" s="46">
        <v>1600</v>
      </c>
      <c r="F14" s="56">
        <v>8.5</v>
      </c>
      <c r="G14" s="56">
        <v>13600</v>
      </c>
      <c r="H14" s="56">
        <v>5</v>
      </c>
      <c r="I14" s="56">
        <v>8000</v>
      </c>
      <c r="J14" s="56">
        <v>14</v>
      </c>
      <c r="K14" s="56">
        <v>22400</v>
      </c>
      <c r="L14" s="56">
        <v>6.25</v>
      </c>
      <c r="M14" s="56">
        <v>10000</v>
      </c>
    </row>
    <row r="15" spans="1:13" x14ac:dyDescent="0.35">
      <c r="A15" s="46">
        <v>2</v>
      </c>
      <c r="B15" s="23" t="s">
        <v>483</v>
      </c>
      <c r="C15" s="45" t="s">
        <v>27</v>
      </c>
      <c r="D15" s="16" t="s">
        <v>28</v>
      </c>
      <c r="E15" s="46">
        <v>1</v>
      </c>
      <c r="F15" s="56">
        <v>28960</v>
      </c>
      <c r="G15" s="56">
        <v>28960</v>
      </c>
      <c r="H15" s="56">
        <v>24000</v>
      </c>
      <c r="I15" s="56">
        <v>24000</v>
      </c>
      <c r="J15" s="56">
        <v>20000</v>
      </c>
      <c r="K15" s="56">
        <v>20000</v>
      </c>
      <c r="L15" s="56">
        <v>22500</v>
      </c>
      <c r="M15" s="56">
        <v>22500</v>
      </c>
    </row>
    <row r="16" spans="1:13" ht="15" customHeight="1" x14ac:dyDescent="0.35">
      <c r="A16" s="46">
        <v>3</v>
      </c>
      <c r="B16" s="23" t="s">
        <v>1273</v>
      </c>
      <c r="C16" s="45" t="s">
        <v>1274</v>
      </c>
      <c r="D16" s="16" t="s">
        <v>28</v>
      </c>
      <c r="E16" s="46">
        <v>1</v>
      </c>
      <c r="F16" s="56">
        <v>127500</v>
      </c>
      <c r="G16" s="56">
        <v>127500</v>
      </c>
      <c r="H16" s="56">
        <v>22500</v>
      </c>
      <c r="I16" s="56">
        <v>22500</v>
      </c>
      <c r="J16" s="56">
        <v>85000</v>
      </c>
      <c r="K16" s="56">
        <v>85000</v>
      </c>
      <c r="L16" s="56">
        <v>71500</v>
      </c>
      <c r="M16" s="56">
        <v>71500</v>
      </c>
    </row>
    <row r="17" spans="1:13" ht="15" customHeight="1" x14ac:dyDescent="0.35">
      <c r="A17" s="46">
        <v>4</v>
      </c>
      <c r="B17" s="23" t="s">
        <v>1275</v>
      </c>
      <c r="C17" s="45" t="s">
        <v>1276</v>
      </c>
      <c r="D17" s="16" t="s">
        <v>28</v>
      </c>
      <c r="E17" s="46">
        <v>1</v>
      </c>
      <c r="F17" s="57">
        <v>9000</v>
      </c>
      <c r="G17" s="56">
        <v>9000</v>
      </c>
      <c r="H17" s="56">
        <v>5625.5</v>
      </c>
      <c r="I17" s="56">
        <v>5625.5</v>
      </c>
      <c r="J17" s="56">
        <v>1200</v>
      </c>
      <c r="K17" s="56">
        <v>1200</v>
      </c>
      <c r="L17" s="56">
        <v>9000</v>
      </c>
      <c r="M17" s="56">
        <v>9000</v>
      </c>
    </row>
    <row r="18" spans="1:13" x14ac:dyDescent="0.35">
      <c r="A18" s="46">
        <v>5</v>
      </c>
      <c r="B18" s="23" t="s">
        <v>1277</v>
      </c>
      <c r="C18" s="45" t="s">
        <v>1278</v>
      </c>
      <c r="D18" s="16" t="s">
        <v>28</v>
      </c>
      <c r="E18" s="46">
        <v>1</v>
      </c>
      <c r="F18" s="56">
        <v>13500</v>
      </c>
      <c r="G18" s="56">
        <v>13500</v>
      </c>
      <c r="H18" s="56">
        <v>62500</v>
      </c>
      <c r="I18" s="56">
        <v>62500</v>
      </c>
      <c r="J18" s="56">
        <v>27675</v>
      </c>
      <c r="K18" s="56">
        <v>27675</v>
      </c>
      <c r="L18" s="56">
        <v>35200</v>
      </c>
      <c r="M18" s="56">
        <v>35200</v>
      </c>
    </row>
    <row r="19" spans="1:13" ht="15" customHeight="1" x14ac:dyDescent="0.35">
      <c r="A19" s="46">
        <v>6</v>
      </c>
      <c r="B19" s="23" t="s">
        <v>1279</v>
      </c>
      <c r="C19" s="45" t="s">
        <v>1280</v>
      </c>
      <c r="D19" s="16" t="s">
        <v>28</v>
      </c>
      <c r="E19" s="48">
        <v>1</v>
      </c>
      <c r="F19" s="57">
        <v>33000</v>
      </c>
      <c r="G19" s="56">
        <v>33000</v>
      </c>
      <c r="H19" s="56">
        <v>16875</v>
      </c>
      <c r="I19" s="56">
        <v>16875</v>
      </c>
      <c r="J19" s="56">
        <v>28350</v>
      </c>
      <c r="K19" s="56">
        <v>28350</v>
      </c>
      <c r="L19" s="56">
        <v>16500</v>
      </c>
      <c r="M19" s="56">
        <v>16500</v>
      </c>
    </row>
    <row r="20" spans="1:13" x14ac:dyDescent="0.35">
      <c r="A20" s="46">
        <v>7</v>
      </c>
      <c r="B20" s="23" t="s">
        <v>1281</v>
      </c>
      <c r="C20" s="93" t="s">
        <v>1282</v>
      </c>
      <c r="D20" s="16" t="s">
        <v>28</v>
      </c>
      <c r="E20" s="46">
        <v>1</v>
      </c>
      <c r="F20" s="57">
        <v>12000</v>
      </c>
      <c r="G20" s="56">
        <v>12000</v>
      </c>
      <c r="H20" s="56">
        <v>11250</v>
      </c>
      <c r="I20" s="56">
        <v>11250</v>
      </c>
      <c r="J20" s="56">
        <v>14000</v>
      </c>
      <c r="K20" s="56">
        <v>14000</v>
      </c>
      <c r="L20" s="56">
        <v>16500</v>
      </c>
      <c r="M20" s="56">
        <v>16500</v>
      </c>
    </row>
    <row r="21" spans="1:13" x14ac:dyDescent="0.35">
      <c r="A21" s="46">
        <v>8</v>
      </c>
      <c r="B21" s="23" t="s">
        <v>1283</v>
      </c>
      <c r="C21" s="93" t="s">
        <v>1284</v>
      </c>
      <c r="D21" s="16" t="s">
        <v>28</v>
      </c>
      <c r="E21" s="46">
        <v>1</v>
      </c>
      <c r="F21" s="57">
        <v>3000</v>
      </c>
      <c r="G21" s="56">
        <v>3000</v>
      </c>
      <c r="H21" s="56">
        <v>2812.5</v>
      </c>
      <c r="I21" s="56">
        <v>2812.5</v>
      </c>
      <c r="J21" s="56">
        <v>5000</v>
      </c>
      <c r="K21" s="56">
        <v>5000</v>
      </c>
      <c r="L21" s="56">
        <v>5000</v>
      </c>
      <c r="M21" s="56">
        <v>5000</v>
      </c>
    </row>
    <row r="22" spans="1:13" x14ac:dyDescent="0.35">
      <c r="A22" s="46">
        <v>9</v>
      </c>
      <c r="B22" s="23" t="s">
        <v>1285</v>
      </c>
      <c r="C22" s="45" t="s">
        <v>1286</v>
      </c>
      <c r="D22" s="16" t="s">
        <v>28</v>
      </c>
      <c r="E22" s="46">
        <v>1</v>
      </c>
      <c r="F22" s="56">
        <v>9000</v>
      </c>
      <c r="G22" s="56">
        <v>9000</v>
      </c>
      <c r="H22" s="56">
        <v>11250</v>
      </c>
      <c r="I22" s="56">
        <v>11250</v>
      </c>
      <c r="J22" s="56">
        <v>10500</v>
      </c>
      <c r="K22" s="56">
        <v>10500</v>
      </c>
      <c r="L22" s="56">
        <v>19250</v>
      </c>
      <c r="M22" s="56">
        <v>19250</v>
      </c>
    </row>
    <row r="23" spans="1:13" x14ac:dyDescent="0.35">
      <c r="A23" s="46">
        <v>10</v>
      </c>
      <c r="B23" s="23" t="s">
        <v>1287</v>
      </c>
      <c r="C23" s="45" t="s">
        <v>1288</v>
      </c>
      <c r="D23" s="16" t="s">
        <v>28</v>
      </c>
      <c r="E23" s="46">
        <v>1</v>
      </c>
      <c r="F23" s="56">
        <v>9000</v>
      </c>
      <c r="G23" s="56">
        <v>9000</v>
      </c>
      <c r="H23" s="56">
        <v>11250</v>
      </c>
      <c r="I23" s="56">
        <v>11250</v>
      </c>
      <c r="J23" s="56">
        <v>18000</v>
      </c>
      <c r="K23" s="56">
        <v>18000</v>
      </c>
      <c r="L23" s="56">
        <v>20000</v>
      </c>
      <c r="M23" s="56">
        <v>20000</v>
      </c>
    </row>
    <row r="24" spans="1:13" x14ac:dyDescent="0.35">
      <c r="A24" s="46">
        <v>11</v>
      </c>
      <c r="B24" s="23" t="s">
        <v>1289</v>
      </c>
      <c r="C24" s="45" t="s">
        <v>1290</v>
      </c>
      <c r="D24" s="16" t="s">
        <v>28</v>
      </c>
      <c r="E24" s="46">
        <v>1</v>
      </c>
      <c r="F24" s="57">
        <v>12000</v>
      </c>
      <c r="G24" s="56">
        <v>12000</v>
      </c>
      <c r="H24" s="56">
        <v>5625</v>
      </c>
      <c r="I24" s="56">
        <v>5625</v>
      </c>
      <c r="J24" s="56">
        <v>16000</v>
      </c>
      <c r="K24" s="56">
        <v>16000</v>
      </c>
      <c r="L24" s="56">
        <v>10000</v>
      </c>
      <c r="M24" s="56">
        <v>10000</v>
      </c>
    </row>
    <row r="25" spans="1:13" x14ac:dyDescent="0.35">
      <c r="A25" s="46">
        <v>12</v>
      </c>
      <c r="B25" s="23" t="s">
        <v>1291</v>
      </c>
      <c r="C25" s="45" t="s">
        <v>1292</v>
      </c>
      <c r="D25" s="16" t="s">
        <v>28</v>
      </c>
      <c r="E25" s="46">
        <v>1</v>
      </c>
      <c r="F25" s="57">
        <v>3000</v>
      </c>
      <c r="G25" s="56">
        <v>3000</v>
      </c>
      <c r="H25" s="56">
        <v>2812.5</v>
      </c>
      <c r="I25" s="56">
        <v>2812.5</v>
      </c>
      <c r="J25" s="56">
        <v>4500</v>
      </c>
      <c r="K25" s="56">
        <v>4500</v>
      </c>
      <c r="L25" s="56">
        <v>3000</v>
      </c>
      <c r="M25" s="56">
        <v>3000</v>
      </c>
    </row>
    <row r="26" spans="1:13" x14ac:dyDescent="0.35">
      <c r="A26" s="46">
        <v>13</v>
      </c>
      <c r="B26" s="23" t="s">
        <v>1293</v>
      </c>
      <c r="C26" s="45" t="s">
        <v>1294</v>
      </c>
      <c r="D26" s="16" t="s">
        <v>478</v>
      </c>
      <c r="E26" s="46">
        <v>5</v>
      </c>
      <c r="F26" s="57">
        <v>2000</v>
      </c>
      <c r="G26" s="56">
        <v>10000</v>
      </c>
      <c r="H26" s="56">
        <v>600</v>
      </c>
      <c r="I26" s="56">
        <v>3000</v>
      </c>
      <c r="J26" s="56">
        <v>500</v>
      </c>
      <c r="K26" s="56">
        <v>2500</v>
      </c>
      <c r="L26" s="56">
        <v>500</v>
      </c>
      <c r="M26" s="56">
        <v>2500</v>
      </c>
    </row>
    <row r="27" spans="1:13" x14ac:dyDescent="0.35">
      <c r="A27" s="46">
        <v>14</v>
      </c>
      <c r="B27" s="23" t="s">
        <v>1295</v>
      </c>
      <c r="C27" s="45" t="s">
        <v>1296</v>
      </c>
      <c r="D27" s="16" t="s">
        <v>478</v>
      </c>
      <c r="E27" s="46">
        <v>5</v>
      </c>
      <c r="F27" s="57">
        <v>3000</v>
      </c>
      <c r="G27" s="56">
        <v>15000</v>
      </c>
      <c r="H27" s="56">
        <v>1800</v>
      </c>
      <c r="I27" s="56">
        <v>9000</v>
      </c>
      <c r="J27" s="56">
        <v>1000</v>
      </c>
      <c r="K27" s="56">
        <v>5000</v>
      </c>
      <c r="L27" s="56">
        <v>1750</v>
      </c>
      <c r="M27" s="56">
        <v>8750</v>
      </c>
    </row>
    <row r="28" spans="1:13" ht="29.5" thickBot="1" x14ac:dyDescent="0.4">
      <c r="A28" s="46">
        <v>15</v>
      </c>
      <c r="B28" s="23" t="s">
        <v>1297</v>
      </c>
      <c r="C28" s="93" t="s">
        <v>1298</v>
      </c>
      <c r="D28" s="16" t="s">
        <v>478</v>
      </c>
      <c r="E28" s="46">
        <v>5</v>
      </c>
      <c r="F28" s="56">
        <v>4000</v>
      </c>
      <c r="G28" s="56">
        <v>20000</v>
      </c>
      <c r="H28" s="56">
        <v>2800</v>
      </c>
      <c r="I28" s="56">
        <v>14000</v>
      </c>
      <c r="J28" s="56">
        <v>1500</v>
      </c>
      <c r="K28" s="56">
        <v>7500</v>
      </c>
      <c r="L28" s="56">
        <v>5000</v>
      </c>
      <c r="M28" s="56">
        <v>25000</v>
      </c>
    </row>
    <row r="29" spans="1:13" ht="15" thickBot="1" x14ac:dyDescent="0.4">
      <c r="D29" s="165" t="s">
        <v>455</v>
      </c>
      <c r="E29" s="166"/>
      <c r="F29" s="167"/>
      <c r="G29" s="168">
        <f>SUM(Table001__Page_2_3161326[EXTENDED TOTAL])</f>
        <v>318560</v>
      </c>
      <c r="H29" s="168"/>
      <c r="I29" s="168">
        <f>SUM(Table001__Page_2_3161326[EXTENDED TOTAL2])</f>
        <v>210500.5</v>
      </c>
      <c r="J29" s="168"/>
      <c r="K29" s="168">
        <f>SUM(Table001__Page_2_3161326[EXTENDED TOTAL3])</f>
        <v>267625</v>
      </c>
      <c r="L29" s="168"/>
      <c r="M29" s="169">
        <f>SUM(Table001__Page_2_3161326[EXTENDED TOTAL4])</f>
        <v>274700</v>
      </c>
    </row>
    <row r="30" spans="1:13" x14ac:dyDescent="0.35">
      <c r="D30" s="129"/>
      <c r="E30" s="128"/>
      <c r="F30" s="129"/>
      <c r="G30" s="129"/>
      <c r="H30" s="129"/>
      <c r="I30" s="130"/>
      <c r="J30" s="129"/>
      <c r="K30" s="130"/>
      <c r="L30" s="129"/>
      <c r="M30" s="130"/>
    </row>
    <row r="31" spans="1:13" x14ac:dyDescent="0.35">
      <c r="D31" s="129"/>
      <c r="E31" s="128"/>
      <c r="F31" s="129"/>
      <c r="G31" s="129"/>
      <c r="H31" s="129"/>
      <c r="I31" s="164"/>
      <c r="J31" s="164"/>
      <c r="K31" s="164"/>
      <c r="L31" s="164"/>
      <c r="M31" s="164"/>
    </row>
    <row r="41" ht="14.5" customHeight="1" x14ac:dyDescent="0.35"/>
    <row r="42" ht="14.5" customHeight="1" x14ac:dyDescent="0.35"/>
  </sheetData>
  <mergeCells count="5">
    <mergeCell ref="A12:E12"/>
    <mergeCell ref="F12:G12"/>
    <mergeCell ref="H12:I12"/>
    <mergeCell ref="J12:K12"/>
    <mergeCell ref="L12:M12"/>
  </mergeCells>
  <pageMargins left="0.7" right="0.7" top="0.75" bottom="0.75" header="0.3" footer="0.3"/>
  <pageSetup orientation="portrait" verticalDpi="0"/>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494C9-E142-446C-8AFE-5A36AA392F91}">
  <dimension ref="A2:O94"/>
  <sheetViews>
    <sheetView topLeftCell="A44" zoomScale="70" zoomScaleNormal="70" workbookViewId="0">
      <selection activeCell="L70" sqref="L70"/>
    </sheetView>
  </sheetViews>
  <sheetFormatPr defaultRowHeight="14.5" x14ac:dyDescent="0.35"/>
  <cols>
    <col min="1" max="1" width="18.54296875" bestFit="1" customWidth="1"/>
    <col min="2" max="2" width="20.26953125" bestFit="1" customWidth="1"/>
    <col min="3" max="3" width="45" bestFit="1" customWidth="1"/>
    <col min="4" max="4" width="13.54296875" bestFit="1" customWidth="1"/>
    <col min="5" max="5" width="34.453125" bestFit="1" customWidth="1"/>
    <col min="6" max="6" width="20.7265625" bestFit="1" customWidth="1"/>
    <col min="7" max="7" width="29.26953125" bestFit="1" customWidth="1"/>
    <col min="8" max="8" width="21.453125" bestFit="1" customWidth="1"/>
    <col min="9" max="9" width="30" bestFit="1" customWidth="1"/>
    <col min="10" max="10" width="22" bestFit="1" customWidth="1"/>
    <col min="11" max="11" width="30.54296875" bestFit="1" customWidth="1"/>
    <col min="12" max="12" width="22.54296875" bestFit="1" customWidth="1"/>
    <col min="13" max="13" width="31.1796875" bestFit="1" customWidth="1"/>
    <col min="14" max="14" width="22.54296875" bestFit="1" customWidth="1"/>
    <col min="15" max="15" width="31.1796875" bestFit="1" customWidth="1"/>
  </cols>
  <sheetData>
    <row r="2" spans="1:15" ht="15.5" x14ac:dyDescent="0.35">
      <c r="A2" s="15"/>
      <c r="B2" s="29"/>
      <c r="C2" s="14"/>
      <c r="D2" s="15"/>
      <c r="E2" s="16"/>
      <c r="F2" s="14"/>
      <c r="G2" s="14"/>
      <c r="H2" s="14"/>
      <c r="I2" s="14"/>
      <c r="J2" s="14"/>
      <c r="K2" s="14"/>
    </row>
    <row r="3" spans="1:15" ht="15.5" x14ac:dyDescent="0.35">
      <c r="A3" s="15" t="s">
        <v>0</v>
      </c>
      <c r="B3" s="29" t="s">
        <v>77</v>
      </c>
      <c r="C3" s="14"/>
      <c r="D3" s="15"/>
      <c r="E3" s="16"/>
      <c r="F3" s="14"/>
      <c r="G3" s="14"/>
      <c r="H3" s="14"/>
      <c r="I3" s="14"/>
      <c r="J3" s="14"/>
      <c r="K3" s="14"/>
    </row>
    <row r="4" spans="1:15" ht="15.5" x14ac:dyDescent="0.35">
      <c r="A4" s="15" t="s">
        <v>2</v>
      </c>
      <c r="B4" s="29" t="str">
        <f>VLOOKUP(B3,DATA!A2:E80,3)</f>
        <v>Gainesboro</v>
      </c>
      <c r="C4" s="14"/>
      <c r="D4" s="15"/>
      <c r="E4" s="16"/>
      <c r="F4" s="14"/>
      <c r="G4" s="14"/>
      <c r="H4" s="14"/>
      <c r="I4" s="14"/>
      <c r="J4" s="14"/>
      <c r="K4" s="14"/>
    </row>
    <row r="5" spans="1:15" ht="15.5" x14ac:dyDescent="0.35">
      <c r="A5" s="15" t="s">
        <v>3</v>
      </c>
      <c r="B5" s="29" t="str">
        <f>VLOOKUP(B3,DATA!A2:E80,4)</f>
        <v>Jackson County</v>
      </c>
      <c r="C5" s="14"/>
      <c r="D5" s="15"/>
      <c r="E5" s="16"/>
      <c r="F5" s="14"/>
      <c r="G5" s="14"/>
      <c r="H5" s="14"/>
      <c r="I5" s="14"/>
      <c r="J5" s="14"/>
      <c r="K5" s="14"/>
    </row>
    <row r="6" spans="1:15" ht="15.5" x14ac:dyDescent="0.35">
      <c r="A6" s="15" t="s">
        <v>4</v>
      </c>
      <c r="B6" s="29" t="s">
        <v>340</v>
      </c>
      <c r="C6" s="14"/>
      <c r="D6" s="15"/>
      <c r="E6" s="16"/>
      <c r="F6" s="14"/>
      <c r="G6" s="14"/>
      <c r="H6" s="14"/>
      <c r="I6" s="14"/>
      <c r="J6" s="14"/>
      <c r="K6" s="14"/>
    </row>
    <row r="7" spans="1:15" ht="15.5" x14ac:dyDescent="0.35">
      <c r="A7" s="15" t="s">
        <v>6</v>
      </c>
      <c r="B7" s="163"/>
      <c r="C7" s="14"/>
      <c r="D7" s="15"/>
      <c r="E7" s="16"/>
      <c r="F7" s="14"/>
      <c r="G7" s="14"/>
      <c r="H7" s="14"/>
      <c r="I7" s="14"/>
      <c r="J7" s="14"/>
      <c r="K7" s="14"/>
    </row>
    <row r="8" spans="1:15" ht="15.5" x14ac:dyDescent="0.35">
      <c r="A8" s="15" t="s">
        <v>8</v>
      </c>
      <c r="B8" s="30">
        <v>45211</v>
      </c>
      <c r="C8" s="14"/>
      <c r="D8" s="15"/>
      <c r="E8" s="33"/>
      <c r="F8" s="14"/>
      <c r="G8" s="14"/>
      <c r="H8" s="14"/>
      <c r="I8" s="14"/>
      <c r="J8" s="14"/>
      <c r="K8" s="14"/>
    </row>
    <row r="9" spans="1:15" ht="15.5" x14ac:dyDescent="0.35">
      <c r="A9" s="15" t="s">
        <v>9</v>
      </c>
      <c r="B9" s="29" t="str">
        <f>VLOOKUP(B3,DATA!A2:E80,2)</f>
        <v>Jackson</v>
      </c>
      <c r="C9" s="14"/>
      <c r="D9" s="15"/>
      <c r="E9" s="16"/>
      <c r="F9" s="14"/>
      <c r="G9" s="14"/>
      <c r="H9" s="14"/>
      <c r="I9" s="14"/>
      <c r="J9" s="14"/>
      <c r="K9" s="14"/>
    </row>
    <row r="10" spans="1:15" ht="15.5" x14ac:dyDescent="0.35">
      <c r="A10" s="15" t="s">
        <v>10</v>
      </c>
      <c r="B10" t="str">
        <f>VLOOKUP(B3,DATA!A2:E80,5)</f>
        <v>Middle</v>
      </c>
      <c r="C10" s="14"/>
      <c r="D10" s="15"/>
      <c r="E10" s="16"/>
      <c r="F10" s="14"/>
      <c r="G10" s="14"/>
      <c r="H10" s="14"/>
      <c r="I10" s="14"/>
      <c r="J10" s="14"/>
      <c r="K10" s="14"/>
    </row>
    <row r="11" spans="1:15" ht="16" thickBot="1" x14ac:dyDescent="0.4">
      <c r="A11" s="15"/>
      <c r="B11" s="29"/>
      <c r="C11" s="14"/>
      <c r="D11" s="15"/>
      <c r="E11" s="16"/>
      <c r="F11" s="14"/>
      <c r="G11" s="14"/>
      <c r="H11" s="14"/>
      <c r="I11" s="14"/>
      <c r="J11" s="14"/>
      <c r="K11" s="14"/>
    </row>
    <row r="12" spans="1:15" ht="16" thickBot="1" x14ac:dyDescent="0.4">
      <c r="A12" s="173" t="s">
        <v>391</v>
      </c>
      <c r="B12" s="174"/>
      <c r="C12" s="174"/>
      <c r="D12" s="174"/>
      <c r="E12" s="175"/>
      <c r="F12" s="173" t="s">
        <v>12</v>
      </c>
      <c r="G12" s="175"/>
      <c r="H12" s="173" t="s">
        <v>392</v>
      </c>
      <c r="I12" s="175"/>
      <c r="J12" s="173" t="s">
        <v>393</v>
      </c>
      <c r="K12" s="175"/>
      <c r="L12" s="173" t="s">
        <v>394</v>
      </c>
      <c r="M12" s="175"/>
      <c r="N12" s="176" t="s">
        <v>395</v>
      </c>
      <c r="O12" s="177"/>
    </row>
    <row r="13" spans="1:15" x14ac:dyDescent="0.35">
      <c r="A13" s="23" t="s">
        <v>15</v>
      </c>
      <c r="B13" s="23" t="s">
        <v>396</v>
      </c>
      <c r="C13" s="23" t="s">
        <v>17</v>
      </c>
      <c r="D13" s="23" t="s">
        <v>18</v>
      </c>
      <c r="E13" s="23" t="s">
        <v>19</v>
      </c>
      <c r="F13" s="23" t="s">
        <v>20</v>
      </c>
      <c r="G13" s="23" t="s">
        <v>21</v>
      </c>
      <c r="H13" s="23" t="s">
        <v>397</v>
      </c>
      <c r="I13" s="23" t="s">
        <v>398</v>
      </c>
      <c r="J13" s="23" t="s">
        <v>399</v>
      </c>
      <c r="K13" s="23" t="s">
        <v>400</v>
      </c>
      <c r="L13" s="23" t="s">
        <v>401</v>
      </c>
      <c r="M13" s="23" t="s">
        <v>402</v>
      </c>
      <c r="N13" s="23" t="s">
        <v>401</v>
      </c>
      <c r="O13" s="23" t="s">
        <v>402</v>
      </c>
    </row>
    <row r="14" spans="1:15" x14ac:dyDescent="0.35">
      <c r="A14" s="16">
        <v>1</v>
      </c>
      <c r="B14" s="23" t="s">
        <v>403</v>
      </c>
      <c r="C14" s="45" t="s">
        <v>404</v>
      </c>
      <c r="D14" s="16" t="s">
        <v>28</v>
      </c>
      <c r="E14" s="16">
        <v>1</v>
      </c>
      <c r="F14" s="59">
        <v>10000</v>
      </c>
      <c r="G14" s="59">
        <v>10000</v>
      </c>
      <c r="H14" s="59">
        <v>67750</v>
      </c>
      <c r="I14" s="59">
        <v>67750</v>
      </c>
      <c r="J14" s="59">
        <v>53000</v>
      </c>
      <c r="K14" s="59">
        <v>53000</v>
      </c>
      <c r="L14" s="59">
        <v>62000</v>
      </c>
      <c r="M14" s="59">
        <v>62000</v>
      </c>
      <c r="N14" s="59">
        <v>100000</v>
      </c>
      <c r="O14" s="59">
        <v>100000</v>
      </c>
    </row>
    <row r="15" spans="1:15" x14ac:dyDescent="0.35">
      <c r="A15" s="16">
        <v>2</v>
      </c>
      <c r="B15" s="23" t="s">
        <v>405</v>
      </c>
      <c r="C15" s="93" t="s">
        <v>406</v>
      </c>
      <c r="D15" s="16" t="s">
        <v>407</v>
      </c>
      <c r="E15" s="16">
        <v>300</v>
      </c>
      <c r="F15" s="59">
        <v>4</v>
      </c>
      <c r="G15" s="59">
        <v>1200</v>
      </c>
      <c r="H15" s="59">
        <v>8.5</v>
      </c>
      <c r="I15" s="59">
        <v>2550</v>
      </c>
      <c r="J15" s="59">
        <v>12</v>
      </c>
      <c r="K15" s="59">
        <v>3600</v>
      </c>
      <c r="L15" s="59">
        <v>14</v>
      </c>
      <c r="M15" s="59">
        <v>4200</v>
      </c>
      <c r="N15" s="59">
        <v>11</v>
      </c>
      <c r="O15" s="59">
        <v>3300</v>
      </c>
    </row>
    <row r="16" spans="1:15" x14ac:dyDescent="0.35">
      <c r="A16" s="16">
        <v>3</v>
      </c>
      <c r="B16" s="23" t="s">
        <v>408</v>
      </c>
      <c r="C16" s="93" t="s">
        <v>409</v>
      </c>
      <c r="D16" s="16" t="s">
        <v>407</v>
      </c>
      <c r="E16" s="16">
        <v>3000</v>
      </c>
      <c r="F16" s="59">
        <v>3</v>
      </c>
      <c r="G16" s="59">
        <v>9000</v>
      </c>
      <c r="H16" s="59">
        <v>2.5</v>
      </c>
      <c r="I16" s="59">
        <v>7500</v>
      </c>
      <c r="J16" s="59">
        <v>8.25</v>
      </c>
      <c r="K16" s="59">
        <v>24750</v>
      </c>
      <c r="L16" s="59">
        <v>9</v>
      </c>
      <c r="M16" s="59">
        <v>27000</v>
      </c>
      <c r="N16" s="59">
        <v>7.7</v>
      </c>
      <c r="O16" s="59">
        <v>23100</v>
      </c>
    </row>
    <row r="17" spans="1:15" x14ac:dyDescent="0.35">
      <c r="A17" s="16">
        <v>4</v>
      </c>
      <c r="B17" s="23" t="s">
        <v>410</v>
      </c>
      <c r="C17" s="93" t="s">
        <v>411</v>
      </c>
      <c r="D17" s="16" t="s">
        <v>412</v>
      </c>
      <c r="E17" s="16">
        <v>1300</v>
      </c>
      <c r="F17" s="59">
        <v>8</v>
      </c>
      <c r="G17" s="59">
        <v>10400</v>
      </c>
      <c r="H17" s="59">
        <v>2</v>
      </c>
      <c r="I17" s="59">
        <v>2600</v>
      </c>
      <c r="J17" s="59">
        <v>3</v>
      </c>
      <c r="K17" s="59">
        <v>3900</v>
      </c>
      <c r="L17" s="59">
        <v>4</v>
      </c>
      <c r="M17" s="59">
        <v>5200</v>
      </c>
      <c r="N17" s="59">
        <v>2.7</v>
      </c>
      <c r="O17" s="59">
        <v>3510</v>
      </c>
    </row>
    <row r="18" spans="1:15" x14ac:dyDescent="0.35">
      <c r="A18" s="16">
        <v>5</v>
      </c>
      <c r="B18" s="23" t="s">
        <v>413</v>
      </c>
      <c r="C18" s="45" t="s">
        <v>414</v>
      </c>
      <c r="D18" s="16" t="s">
        <v>28</v>
      </c>
      <c r="E18" s="16">
        <v>1</v>
      </c>
      <c r="F18" s="59">
        <v>71667</v>
      </c>
      <c r="G18" s="59">
        <v>71667</v>
      </c>
      <c r="H18" s="59">
        <v>92000</v>
      </c>
      <c r="I18" s="59">
        <v>92000</v>
      </c>
      <c r="J18" s="59">
        <v>82000</v>
      </c>
      <c r="K18" s="59">
        <v>82000</v>
      </c>
      <c r="L18" s="59">
        <v>118000</v>
      </c>
      <c r="M18" s="59">
        <v>118000</v>
      </c>
      <c r="N18" s="59">
        <v>138000</v>
      </c>
      <c r="O18" s="59">
        <v>138000</v>
      </c>
    </row>
    <row r="19" spans="1:15" x14ac:dyDescent="0.35">
      <c r="A19" s="16">
        <v>6</v>
      </c>
      <c r="B19" s="23" t="s">
        <v>415</v>
      </c>
      <c r="C19" s="93" t="s">
        <v>416</v>
      </c>
      <c r="D19" s="16" t="s">
        <v>28</v>
      </c>
      <c r="E19" s="16">
        <v>1</v>
      </c>
      <c r="F19" s="59">
        <v>37600</v>
      </c>
      <c r="G19" s="59">
        <v>37600</v>
      </c>
      <c r="H19" s="59">
        <v>15000</v>
      </c>
      <c r="I19" s="59">
        <v>15000</v>
      </c>
      <c r="J19" s="59">
        <v>35000</v>
      </c>
      <c r="K19" s="59">
        <v>35000</v>
      </c>
      <c r="L19" s="59">
        <v>49000</v>
      </c>
      <c r="M19" s="59">
        <v>49000</v>
      </c>
      <c r="N19" s="59">
        <v>21000</v>
      </c>
      <c r="O19" s="59">
        <v>21000</v>
      </c>
    </row>
    <row r="20" spans="1:15" x14ac:dyDescent="0.35">
      <c r="A20" s="16">
        <v>7</v>
      </c>
      <c r="B20" s="23" t="s">
        <v>417</v>
      </c>
      <c r="C20" s="45" t="s">
        <v>418</v>
      </c>
      <c r="D20" s="16" t="s">
        <v>28</v>
      </c>
      <c r="E20" s="16">
        <v>1</v>
      </c>
      <c r="F20" s="59">
        <v>2535</v>
      </c>
      <c r="G20" s="59">
        <v>2535</v>
      </c>
      <c r="H20" s="59">
        <v>1500</v>
      </c>
      <c r="I20" s="59">
        <v>1500</v>
      </c>
      <c r="J20" s="59"/>
      <c r="K20" s="59">
        <v>0</v>
      </c>
      <c r="L20" s="59">
        <v>36000</v>
      </c>
      <c r="M20" s="59">
        <v>36000</v>
      </c>
      <c r="N20" s="59">
        <v>9200</v>
      </c>
      <c r="O20" s="59">
        <v>9200</v>
      </c>
    </row>
    <row r="21" spans="1:15" x14ac:dyDescent="0.35">
      <c r="A21" s="16">
        <v>8</v>
      </c>
      <c r="B21" s="23" t="s">
        <v>419</v>
      </c>
      <c r="C21" s="45" t="s">
        <v>420</v>
      </c>
      <c r="D21" s="16" t="s">
        <v>28</v>
      </c>
      <c r="E21" s="16">
        <v>1</v>
      </c>
      <c r="F21" s="59">
        <v>7365</v>
      </c>
      <c r="G21" s="59">
        <v>7365</v>
      </c>
      <c r="H21" s="59">
        <v>12000</v>
      </c>
      <c r="I21" s="59">
        <v>12000</v>
      </c>
      <c r="J21" s="59">
        <v>30000</v>
      </c>
      <c r="K21" s="59">
        <v>30000</v>
      </c>
      <c r="L21" s="59">
        <v>49000</v>
      </c>
      <c r="M21" s="59">
        <v>49000</v>
      </c>
      <c r="N21" s="59">
        <v>45600</v>
      </c>
      <c r="O21" s="59">
        <v>45600</v>
      </c>
    </row>
    <row r="22" spans="1:15" x14ac:dyDescent="0.35">
      <c r="A22" s="16">
        <v>9</v>
      </c>
      <c r="B22" s="23" t="s">
        <v>421</v>
      </c>
      <c r="C22" s="45" t="s">
        <v>422</v>
      </c>
      <c r="D22" s="16" t="s">
        <v>407</v>
      </c>
      <c r="E22" s="16">
        <v>200</v>
      </c>
      <c r="F22" s="59">
        <v>11</v>
      </c>
      <c r="G22" s="59">
        <v>2200</v>
      </c>
      <c r="H22" s="59">
        <v>5</v>
      </c>
      <c r="I22" s="59">
        <v>1000</v>
      </c>
      <c r="J22" s="59">
        <v>14</v>
      </c>
      <c r="K22" s="59">
        <v>2800</v>
      </c>
      <c r="L22" s="59">
        <v>18</v>
      </c>
      <c r="M22" s="59">
        <v>3600</v>
      </c>
      <c r="N22" s="59">
        <v>3.75</v>
      </c>
      <c r="O22" s="59">
        <v>750</v>
      </c>
    </row>
    <row r="23" spans="1:15" x14ac:dyDescent="0.35">
      <c r="A23" s="16">
        <v>10</v>
      </c>
      <c r="B23" s="23" t="s">
        <v>423</v>
      </c>
      <c r="C23" s="45" t="s">
        <v>424</v>
      </c>
      <c r="D23" s="16" t="s">
        <v>425</v>
      </c>
      <c r="E23" s="16">
        <v>0.5</v>
      </c>
      <c r="F23" s="59">
        <v>15000</v>
      </c>
      <c r="G23" s="59">
        <v>7500</v>
      </c>
      <c r="H23" s="59">
        <v>6000</v>
      </c>
      <c r="I23" s="59">
        <v>3000</v>
      </c>
      <c r="J23" s="59">
        <v>11000</v>
      </c>
      <c r="K23" s="59">
        <v>5500</v>
      </c>
      <c r="L23" s="59">
        <v>52000</v>
      </c>
      <c r="M23" s="59">
        <v>26000</v>
      </c>
      <c r="N23" s="59">
        <v>19300</v>
      </c>
      <c r="O23" s="59">
        <v>9650</v>
      </c>
    </row>
    <row r="24" spans="1:15" x14ac:dyDescent="0.35">
      <c r="A24" s="16">
        <v>11</v>
      </c>
      <c r="B24" s="31" t="s">
        <v>426</v>
      </c>
      <c r="C24" s="27" t="s">
        <v>427</v>
      </c>
      <c r="D24" s="20" t="s">
        <v>428</v>
      </c>
      <c r="E24" s="16">
        <v>7007</v>
      </c>
      <c r="F24" s="59">
        <v>5</v>
      </c>
      <c r="G24" s="59">
        <v>35035</v>
      </c>
      <c r="H24" s="59">
        <v>14</v>
      </c>
      <c r="I24" s="59">
        <v>98098</v>
      </c>
      <c r="J24" s="59">
        <v>12</v>
      </c>
      <c r="K24" s="59">
        <v>84084</v>
      </c>
      <c r="L24" s="59">
        <v>15</v>
      </c>
      <c r="M24" s="59">
        <v>105105</v>
      </c>
      <c r="N24" s="59">
        <v>27</v>
      </c>
      <c r="O24" s="59">
        <v>189189</v>
      </c>
    </row>
    <row r="25" spans="1:15" x14ac:dyDescent="0.35">
      <c r="A25" s="16">
        <v>12</v>
      </c>
      <c r="B25" s="23" t="s">
        <v>429</v>
      </c>
      <c r="C25" s="45" t="s">
        <v>430</v>
      </c>
      <c r="D25" s="16" t="s">
        <v>428</v>
      </c>
      <c r="E25" s="16">
        <v>4709</v>
      </c>
      <c r="F25" s="59">
        <v>30</v>
      </c>
      <c r="G25" s="59">
        <v>141270</v>
      </c>
      <c r="H25" s="59">
        <v>34</v>
      </c>
      <c r="I25" s="59">
        <v>160106</v>
      </c>
      <c r="J25" s="59">
        <v>23</v>
      </c>
      <c r="K25" s="59">
        <v>108307</v>
      </c>
      <c r="L25" s="59">
        <v>15</v>
      </c>
      <c r="M25" s="59">
        <v>70635</v>
      </c>
      <c r="N25" s="59">
        <v>61</v>
      </c>
      <c r="O25" s="59">
        <v>287249</v>
      </c>
    </row>
    <row r="26" spans="1:15" x14ac:dyDescent="0.35">
      <c r="A26" s="16">
        <v>13</v>
      </c>
      <c r="B26" s="23" t="s">
        <v>431</v>
      </c>
      <c r="C26" s="45" t="s">
        <v>432</v>
      </c>
      <c r="D26" s="16" t="s">
        <v>428</v>
      </c>
      <c r="E26" s="16">
        <v>1000</v>
      </c>
      <c r="F26" s="59">
        <v>25</v>
      </c>
      <c r="G26" s="59">
        <v>25000</v>
      </c>
      <c r="H26" s="59">
        <v>15</v>
      </c>
      <c r="I26" s="59">
        <v>15000</v>
      </c>
      <c r="J26" s="59">
        <v>30</v>
      </c>
      <c r="K26" s="59">
        <v>30000</v>
      </c>
      <c r="L26" s="59">
        <v>39</v>
      </c>
      <c r="M26" s="59">
        <v>39000</v>
      </c>
      <c r="N26" s="59">
        <v>40</v>
      </c>
      <c r="O26" s="59">
        <v>40000</v>
      </c>
    </row>
    <row r="27" spans="1:15" x14ac:dyDescent="0.35">
      <c r="A27" s="16">
        <v>14</v>
      </c>
      <c r="B27" s="23" t="s">
        <v>433</v>
      </c>
      <c r="C27" s="45" t="s">
        <v>434</v>
      </c>
      <c r="D27" s="16" t="s">
        <v>435</v>
      </c>
      <c r="E27" s="16">
        <v>2000</v>
      </c>
      <c r="F27" s="59">
        <v>35</v>
      </c>
      <c r="G27" s="59">
        <v>70000</v>
      </c>
      <c r="H27" s="59">
        <v>30</v>
      </c>
      <c r="I27" s="59">
        <v>60000</v>
      </c>
      <c r="J27" s="59">
        <v>40</v>
      </c>
      <c r="K27" s="59">
        <v>80000</v>
      </c>
      <c r="L27" s="59">
        <v>46</v>
      </c>
      <c r="M27" s="59">
        <v>92000</v>
      </c>
      <c r="N27" s="59">
        <v>60</v>
      </c>
      <c r="O27" s="59">
        <v>120000</v>
      </c>
    </row>
    <row r="28" spans="1:15" x14ac:dyDescent="0.35">
      <c r="A28" s="16">
        <v>15</v>
      </c>
      <c r="B28" s="23" t="s">
        <v>436</v>
      </c>
      <c r="C28" s="45" t="s">
        <v>437</v>
      </c>
      <c r="D28" s="16" t="s">
        <v>435</v>
      </c>
      <c r="E28" s="16">
        <v>1615</v>
      </c>
      <c r="F28" s="59">
        <v>40</v>
      </c>
      <c r="G28" s="59">
        <v>64600</v>
      </c>
      <c r="H28" s="59">
        <v>72.5</v>
      </c>
      <c r="I28" s="59">
        <v>117087.5</v>
      </c>
      <c r="J28" s="59">
        <v>72.5</v>
      </c>
      <c r="K28" s="59">
        <v>117087.5</v>
      </c>
      <c r="L28" s="59">
        <v>86</v>
      </c>
      <c r="M28" s="59">
        <v>138890</v>
      </c>
      <c r="N28" s="59">
        <v>80</v>
      </c>
      <c r="O28" s="59">
        <v>129200</v>
      </c>
    </row>
    <row r="29" spans="1:15" x14ac:dyDescent="0.35">
      <c r="A29" s="16">
        <v>16</v>
      </c>
      <c r="B29" s="23" t="s">
        <v>438</v>
      </c>
      <c r="C29" s="45" t="s">
        <v>439</v>
      </c>
      <c r="D29" s="16" t="s">
        <v>435</v>
      </c>
      <c r="E29" s="16">
        <v>450</v>
      </c>
      <c r="F29" s="22">
        <v>225</v>
      </c>
      <c r="G29" s="59">
        <v>101250</v>
      </c>
      <c r="H29" s="59">
        <v>168</v>
      </c>
      <c r="I29" s="59">
        <v>75600</v>
      </c>
      <c r="J29" s="59">
        <v>168</v>
      </c>
      <c r="K29" s="59">
        <v>75600</v>
      </c>
      <c r="L29" s="59">
        <v>196</v>
      </c>
      <c r="M29" s="59">
        <v>88200</v>
      </c>
      <c r="N29" s="59">
        <v>207</v>
      </c>
      <c r="O29" s="59">
        <v>93150</v>
      </c>
    </row>
    <row r="30" spans="1:15" x14ac:dyDescent="0.35">
      <c r="A30" s="16">
        <v>17</v>
      </c>
      <c r="B30" s="23" t="s">
        <v>440</v>
      </c>
      <c r="C30" s="45" t="s">
        <v>441</v>
      </c>
      <c r="D30" s="16" t="s">
        <v>435</v>
      </c>
      <c r="E30" s="16">
        <v>399</v>
      </c>
      <c r="F30" s="59">
        <v>225</v>
      </c>
      <c r="G30" s="59">
        <v>89775</v>
      </c>
      <c r="H30" s="59">
        <v>203</v>
      </c>
      <c r="I30" s="59">
        <v>80997</v>
      </c>
      <c r="J30" s="59">
        <v>203</v>
      </c>
      <c r="K30" s="59">
        <v>80997</v>
      </c>
      <c r="L30" s="59">
        <v>238</v>
      </c>
      <c r="M30" s="59">
        <v>94962</v>
      </c>
      <c r="N30" s="59">
        <v>244</v>
      </c>
      <c r="O30" s="59">
        <v>97356</v>
      </c>
    </row>
    <row r="31" spans="1:15" x14ac:dyDescent="0.35">
      <c r="A31" s="16">
        <v>18</v>
      </c>
      <c r="B31" s="23" t="s">
        <v>442</v>
      </c>
      <c r="C31" s="95" t="s">
        <v>443</v>
      </c>
      <c r="D31" s="16" t="s">
        <v>412</v>
      </c>
      <c r="E31" s="16">
        <v>14</v>
      </c>
      <c r="F31" s="59">
        <v>250</v>
      </c>
      <c r="G31" s="59">
        <v>3500</v>
      </c>
      <c r="H31" s="59">
        <v>380</v>
      </c>
      <c r="I31" s="59">
        <v>5320</v>
      </c>
      <c r="J31" s="59">
        <v>600</v>
      </c>
      <c r="K31" s="59">
        <v>8400</v>
      </c>
      <c r="L31" s="59">
        <v>68</v>
      </c>
      <c r="M31" s="59">
        <v>952</v>
      </c>
      <c r="N31" s="59">
        <v>840</v>
      </c>
      <c r="O31" s="59">
        <v>11760</v>
      </c>
    </row>
    <row r="32" spans="1:15" x14ac:dyDescent="0.35">
      <c r="A32" s="16">
        <v>19</v>
      </c>
      <c r="B32" s="31" t="s">
        <v>444</v>
      </c>
      <c r="C32" s="94" t="s">
        <v>445</v>
      </c>
      <c r="D32" s="20" t="s">
        <v>446</v>
      </c>
      <c r="E32" s="16">
        <v>1015</v>
      </c>
      <c r="F32" s="59">
        <v>8</v>
      </c>
      <c r="G32" s="59">
        <v>8120</v>
      </c>
      <c r="H32" s="59">
        <v>7</v>
      </c>
      <c r="I32" s="59">
        <v>7105</v>
      </c>
      <c r="J32" s="59">
        <v>7</v>
      </c>
      <c r="K32" s="59">
        <v>7105</v>
      </c>
      <c r="L32" s="59">
        <v>11</v>
      </c>
      <c r="M32" s="59">
        <v>11165</v>
      </c>
      <c r="N32" s="59">
        <v>8.3000000000000007</v>
      </c>
      <c r="O32" s="59">
        <v>8424.5</v>
      </c>
    </row>
    <row r="33" spans="1:15" x14ac:dyDescent="0.35">
      <c r="A33" s="16">
        <v>20</v>
      </c>
      <c r="B33" s="23" t="s">
        <v>447</v>
      </c>
      <c r="C33" s="94" t="s">
        <v>448</v>
      </c>
      <c r="D33" s="16" t="s">
        <v>446</v>
      </c>
      <c r="E33" s="16">
        <v>330</v>
      </c>
      <c r="F33" s="59">
        <v>8</v>
      </c>
      <c r="G33" s="59">
        <v>2640</v>
      </c>
      <c r="H33" s="59">
        <v>7.5</v>
      </c>
      <c r="I33" s="59">
        <v>2475</v>
      </c>
      <c r="J33" s="59">
        <v>7.5</v>
      </c>
      <c r="K33" s="59">
        <v>2475</v>
      </c>
      <c r="L33" s="59">
        <v>12</v>
      </c>
      <c r="M33" s="59">
        <v>3960</v>
      </c>
      <c r="N33" s="59">
        <v>8.9</v>
      </c>
      <c r="O33" s="59">
        <v>2937</v>
      </c>
    </row>
    <row r="34" spans="1:15" x14ac:dyDescent="0.35">
      <c r="A34" s="16">
        <v>21</v>
      </c>
      <c r="B34" s="23" t="s">
        <v>449</v>
      </c>
      <c r="C34" s="93" t="s">
        <v>450</v>
      </c>
      <c r="D34" s="16" t="s">
        <v>425</v>
      </c>
      <c r="E34" s="16">
        <v>7</v>
      </c>
      <c r="F34" s="59">
        <v>3500</v>
      </c>
      <c r="G34" s="59">
        <v>24500</v>
      </c>
      <c r="H34" s="59">
        <v>2600</v>
      </c>
      <c r="I34" s="59">
        <v>18200</v>
      </c>
      <c r="J34" s="59">
        <v>4600</v>
      </c>
      <c r="K34" s="59">
        <v>32200</v>
      </c>
      <c r="L34" s="59">
        <v>5800</v>
      </c>
      <c r="M34" s="59">
        <v>40600</v>
      </c>
      <c r="N34" s="59">
        <v>5360</v>
      </c>
      <c r="O34" s="59">
        <v>37520</v>
      </c>
    </row>
    <row r="35" spans="1:15" x14ac:dyDescent="0.35">
      <c r="A35" s="16">
        <v>22</v>
      </c>
      <c r="B35" s="23" t="s">
        <v>451</v>
      </c>
      <c r="C35" s="45" t="s">
        <v>452</v>
      </c>
      <c r="D35" s="16" t="s">
        <v>412</v>
      </c>
      <c r="E35" s="16">
        <v>485</v>
      </c>
      <c r="F35" s="59">
        <v>10</v>
      </c>
      <c r="G35" s="59">
        <v>4850</v>
      </c>
      <c r="H35" s="59">
        <v>10.5</v>
      </c>
      <c r="I35" s="59">
        <v>5092.5</v>
      </c>
      <c r="J35" s="59">
        <v>19</v>
      </c>
      <c r="K35" s="59">
        <v>9215</v>
      </c>
      <c r="L35" s="59">
        <v>22</v>
      </c>
      <c r="M35" s="59">
        <v>10670</v>
      </c>
      <c r="N35" s="59">
        <v>20.5</v>
      </c>
      <c r="O35" s="59">
        <v>9942.5</v>
      </c>
    </row>
    <row r="36" spans="1:15" x14ac:dyDescent="0.35">
      <c r="A36" s="16">
        <v>23</v>
      </c>
      <c r="B36" s="23" t="s">
        <v>453</v>
      </c>
      <c r="C36" s="45" t="s">
        <v>454</v>
      </c>
      <c r="D36" s="16" t="s">
        <v>428</v>
      </c>
      <c r="E36" s="16">
        <v>1341</v>
      </c>
      <c r="F36" s="59">
        <v>10</v>
      </c>
      <c r="G36" s="59">
        <v>13410</v>
      </c>
      <c r="H36" s="59">
        <v>10.5</v>
      </c>
      <c r="I36" s="59">
        <v>14080.5</v>
      </c>
      <c r="J36" s="59">
        <v>14</v>
      </c>
      <c r="K36" s="59">
        <v>18774</v>
      </c>
      <c r="L36" s="59">
        <v>18</v>
      </c>
      <c r="M36" s="59">
        <v>24138</v>
      </c>
      <c r="N36" s="59">
        <v>20</v>
      </c>
      <c r="O36" s="59">
        <v>26820</v>
      </c>
    </row>
    <row r="37" spans="1:15" x14ac:dyDescent="0.35">
      <c r="A37" s="81"/>
      <c r="B37" s="96"/>
      <c r="C37" s="97"/>
      <c r="D37" s="81"/>
      <c r="E37" s="81"/>
      <c r="F37" s="98"/>
      <c r="G37" s="59"/>
      <c r="H37" s="98"/>
      <c r="I37" s="59"/>
      <c r="J37" s="98"/>
      <c r="K37" s="59"/>
      <c r="L37" s="98"/>
      <c r="M37" s="59"/>
      <c r="N37" s="98"/>
      <c r="O37" s="59"/>
    </row>
    <row r="38" spans="1:15" x14ac:dyDescent="0.35">
      <c r="A38" s="16"/>
      <c r="B38" s="23"/>
      <c r="C38" s="45"/>
      <c r="D38" s="16"/>
      <c r="E38" s="16"/>
      <c r="F38" s="59"/>
      <c r="G38" s="59"/>
      <c r="H38" s="59"/>
      <c r="I38" s="59"/>
      <c r="J38" s="59"/>
      <c r="K38" s="59"/>
      <c r="L38" s="59"/>
      <c r="M38" s="59"/>
      <c r="N38" s="59"/>
      <c r="O38" s="59"/>
    </row>
    <row r="39" spans="1:15" ht="15" thickBot="1" x14ac:dyDescent="0.4">
      <c r="A39" s="20"/>
      <c r="B39" s="31"/>
      <c r="C39" s="20"/>
      <c r="D39" s="20"/>
      <c r="E39" s="16"/>
      <c r="F39" s="22"/>
      <c r="G39" s="22"/>
      <c r="H39" s="22"/>
      <c r="I39" s="22"/>
      <c r="J39" s="22"/>
      <c r="K39" s="59"/>
      <c r="L39" s="22"/>
      <c r="M39" s="22"/>
    </row>
    <row r="40" spans="1:15" ht="16" thickBot="1" x14ac:dyDescent="0.4">
      <c r="A40" s="21"/>
      <c r="B40" s="29"/>
      <c r="C40" s="21"/>
      <c r="D40" s="178" t="s">
        <v>1302</v>
      </c>
      <c r="E40" s="179"/>
      <c r="F40" s="17"/>
      <c r="G40" s="17">
        <f>SUM(G14:G38)</f>
        <v>743417</v>
      </c>
      <c r="H40" s="17"/>
      <c r="I40" s="17">
        <f>SUM(I14:I38)</f>
        <v>864061.5</v>
      </c>
      <c r="J40" s="17"/>
      <c r="K40" s="18">
        <f>SUM(K14:K38)</f>
        <v>894794.5</v>
      </c>
      <c r="L40" s="17"/>
      <c r="M40" s="17">
        <f>SUM(M14:M38)</f>
        <v>1100277</v>
      </c>
      <c r="N40" s="17"/>
      <c r="O40" s="17">
        <f t="shared" ref="O40" si="0">SUM(O14:O38)</f>
        <v>1407658</v>
      </c>
    </row>
    <row r="41" spans="1:15" ht="15" thickBot="1" x14ac:dyDescent="0.4"/>
    <row r="42" spans="1:15" ht="16" thickBot="1" x14ac:dyDescent="0.4">
      <c r="A42" s="173" t="s">
        <v>459</v>
      </c>
      <c r="B42" s="174"/>
      <c r="C42" s="174"/>
      <c r="D42" s="174"/>
      <c r="E42" s="175"/>
      <c r="F42" s="173" t="s">
        <v>12</v>
      </c>
      <c r="G42" s="175"/>
      <c r="H42" s="173" t="s">
        <v>392</v>
      </c>
      <c r="I42" s="175"/>
      <c r="J42" s="173" t="s">
        <v>393</v>
      </c>
      <c r="K42" s="175"/>
      <c r="L42" s="173" t="s">
        <v>394</v>
      </c>
      <c r="M42" s="175"/>
      <c r="N42" s="176" t="s">
        <v>395</v>
      </c>
      <c r="O42" s="177"/>
    </row>
    <row r="43" spans="1:15" x14ac:dyDescent="0.35">
      <c r="A43" s="23" t="s">
        <v>15</v>
      </c>
      <c r="B43" s="23" t="s">
        <v>396</v>
      </c>
      <c r="C43" s="23" t="s">
        <v>17</v>
      </c>
      <c r="D43" s="23" t="s">
        <v>18</v>
      </c>
      <c r="E43" s="23" t="s">
        <v>19</v>
      </c>
      <c r="F43" s="23" t="s">
        <v>20</v>
      </c>
      <c r="G43" s="23" t="s">
        <v>21</v>
      </c>
      <c r="H43" s="23" t="s">
        <v>397</v>
      </c>
      <c r="I43" s="23" t="s">
        <v>398</v>
      </c>
      <c r="J43" s="23" t="s">
        <v>399</v>
      </c>
      <c r="K43" s="23" t="s">
        <v>400</v>
      </c>
      <c r="L43" s="23" t="s">
        <v>401</v>
      </c>
      <c r="M43" s="23" t="s">
        <v>402</v>
      </c>
      <c r="N43" s="23" t="s">
        <v>460</v>
      </c>
      <c r="O43" s="23" t="s">
        <v>23</v>
      </c>
    </row>
    <row r="44" spans="1:15" x14ac:dyDescent="0.35">
      <c r="A44" s="16">
        <v>24</v>
      </c>
      <c r="B44" s="23" t="s">
        <v>461</v>
      </c>
      <c r="C44" s="45" t="s">
        <v>462</v>
      </c>
      <c r="D44" s="16" t="s">
        <v>28</v>
      </c>
      <c r="E44" s="16">
        <v>1</v>
      </c>
      <c r="F44" s="59">
        <v>823064</v>
      </c>
      <c r="G44" s="59">
        <v>823064</v>
      </c>
      <c r="H44" s="59">
        <v>982000</v>
      </c>
      <c r="I44" s="59">
        <v>982000</v>
      </c>
      <c r="J44" s="59">
        <v>1243450.5</v>
      </c>
      <c r="K44" s="59">
        <v>1243450.5</v>
      </c>
      <c r="L44" s="59">
        <v>1182410.44</v>
      </c>
      <c r="M44" s="59">
        <v>1182410.44</v>
      </c>
      <c r="N44" s="59">
        <v>960000</v>
      </c>
      <c r="O44" s="59">
        <v>960000</v>
      </c>
    </row>
    <row r="45" spans="1:15" ht="29.5" thickBot="1" x14ac:dyDescent="0.4">
      <c r="A45" s="16">
        <v>25</v>
      </c>
      <c r="B45" s="23" t="s">
        <v>461</v>
      </c>
      <c r="C45" s="93" t="s">
        <v>463</v>
      </c>
      <c r="D45" s="16" t="s">
        <v>28</v>
      </c>
      <c r="E45" s="16">
        <v>1</v>
      </c>
      <c r="F45" s="59">
        <v>50000</v>
      </c>
      <c r="G45" s="59">
        <v>50000</v>
      </c>
      <c r="H45" s="59">
        <v>4000</v>
      </c>
      <c r="I45" s="59">
        <v>4000</v>
      </c>
      <c r="J45" s="59">
        <v>3755</v>
      </c>
      <c r="K45" s="59">
        <v>3755</v>
      </c>
      <c r="L45" s="59">
        <v>3000</v>
      </c>
      <c r="M45" s="59">
        <v>3000</v>
      </c>
      <c r="N45" s="59">
        <v>14000</v>
      </c>
      <c r="O45" s="59">
        <v>14000</v>
      </c>
    </row>
    <row r="46" spans="1:15" ht="16" thickBot="1" x14ac:dyDescent="0.4">
      <c r="A46" s="21"/>
      <c r="B46" s="29"/>
      <c r="C46" s="21"/>
      <c r="D46" s="178" t="s">
        <v>1303</v>
      </c>
      <c r="E46" s="179"/>
      <c r="F46" s="17"/>
      <c r="G46" s="17">
        <f>SUM(G44:G45)</f>
        <v>873064</v>
      </c>
      <c r="H46" s="17"/>
      <c r="I46" s="17">
        <f>SUM(I44:I45)</f>
        <v>986000</v>
      </c>
      <c r="J46" s="17"/>
      <c r="K46" s="18">
        <f>SUM(K44:K45)</f>
        <v>1247205.5</v>
      </c>
      <c r="L46" s="17"/>
      <c r="M46" s="17">
        <f>SUM(M44:M45)</f>
        <v>1185410.44</v>
      </c>
      <c r="N46" s="17"/>
      <c r="O46" s="17">
        <f t="shared" ref="O46" si="1">SUM(O44:O45)</f>
        <v>974000</v>
      </c>
    </row>
    <row r="47" spans="1:15" ht="15" thickBot="1" x14ac:dyDescent="0.4">
      <c r="A47" s="14"/>
      <c r="B47" s="29"/>
      <c r="C47" s="14"/>
      <c r="D47" s="14"/>
      <c r="E47" s="16"/>
      <c r="F47" s="14"/>
      <c r="G47" s="14"/>
      <c r="H47" s="14"/>
      <c r="I47" s="14"/>
      <c r="J47" s="14"/>
      <c r="K47" s="14"/>
      <c r="L47" s="14"/>
      <c r="M47" s="14"/>
      <c r="N47" s="14"/>
      <c r="O47" s="14"/>
    </row>
    <row r="48" spans="1:15" ht="16" thickBot="1" x14ac:dyDescent="0.4">
      <c r="D48" s="180" t="s">
        <v>455</v>
      </c>
      <c r="E48" s="181"/>
      <c r="F48" s="107"/>
      <c r="G48" s="107">
        <f>SUM(G40+G46)</f>
        <v>1616481</v>
      </c>
      <c r="H48" s="107"/>
      <c r="I48" s="107">
        <f>SUM(I40+I46)</f>
        <v>1850061.5</v>
      </c>
      <c r="J48" s="107"/>
      <c r="K48" s="108">
        <f>SUM(K40+K46)</f>
        <v>2142000</v>
      </c>
      <c r="L48" s="107"/>
      <c r="M48" s="107">
        <f>SUM(M40+M46)</f>
        <v>2285687.44</v>
      </c>
      <c r="N48" s="107"/>
      <c r="O48" s="107">
        <f>SUM(O40+O46)</f>
        <v>2381658</v>
      </c>
    </row>
    <row r="49" spans="1:15" x14ac:dyDescent="0.35">
      <c r="D49" s="109"/>
      <c r="E49" s="110"/>
      <c r="F49" s="109"/>
      <c r="G49" s="109"/>
      <c r="H49" s="109"/>
      <c r="I49" s="109"/>
      <c r="J49" s="109"/>
      <c r="K49" s="109"/>
      <c r="L49" s="109"/>
      <c r="M49" s="109"/>
      <c r="N49" s="109"/>
      <c r="O49" s="109"/>
    </row>
    <row r="50" spans="1:15" x14ac:dyDescent="0.35">
      <c r="D50" s="182" t="s">
        <v>456</v>
      </c>
      <c r="E50" s="183"/>
      <c r="F50" s="111"/>
      <c r="G50" s="162" t="s">
        <v>457</v>
      </c>
      <c r="H50" s="112"/>
      <c r="I50" s="113">
        <f>I48-G48</f>
        <v>233580.5</v>
      </c>
      <c r="J50" s="112"/>
      <c r="K50" s="114">
        <f>K48-G48</f>
        <v>525519</v>
      </c>
      <c r="L50" s="111"/>
      <c r="M50" s="113">
        <f>M48-G48</f>
        <v>669206.43999999994</v>
      </c>
      <c r="N50" s="113"/>
      <c r="O50" s="113">
        <f>O48-G48</f>
        <v>765177</v>
      </c>
    </row>
    <row r="51" spans="1:15" x14ac:dyDescent="0.35">
      <c r="D51" s="115"/>
      <c r="E51" s="116"/>
      <c r="F51" s="115"/>
      <c r="G51" s="115"/>
      <c r="H51" s="115"/>
      <c r="I51" s="115"/>
      <c r="J51" s="115"/>
      <c r="K51" s="115"/>
      <c r="L51" s="115"/>
      <c r="M51" s="117"/>
      <c r="N51" s="117"/>
      <c r="O51" s="117"/>
    </row>
    <row r="52" spans="1:15" x14ac:dyDescent="0.35">
      <c r="D52" s="184" t="s">
        <v>458</v>
      </c>
      <c r="E52" s="185"/>
      <c r="F52" s="186"/>
      <c r="G52" s="118"/>
      <c r="H52" s="119"/>
      <c r="I52" s="120">
        <f>I50/G48</f>
        <v>0.14449937858842757</v>
      </c>
      <c r="J52" s="119"/>
      <c r="K52" s="121">
        <f>K50/G48</f>
        <v>0.32510063526883398</v>
      </c>
      <c r="L52" s="118"/>
      <c r="M52" s="120">
        <f>M50/G48</f>
        <v>0.41398967262838221</v>
      </c>
      <c r="N52" s="120"/>
      <c r="O52" s="120">
        <f>O50/G48</f>
        <v>0.47335972399304416</v>
      </c>
    </row>
    <row r="54" spans="1:15" ht="16.149999999999999" customHeight="1" x14ac:dyDescent="0.35">
      <c r="A54" s="173" t="s">
        <v>464</v>
      </c>
      <c r="B54" s="174"/>
      <c r="C54" s="174"/>
      <c r="D54" s="174"/>
      <c r="E54" s="175"/>
      <c r="F54" s="173" t="s">
        <v>12</v>
      </c>
      <c r="G54" s="175"/>
      <c r="H54" s="173" t="s">
        <v>392</v>
      </c>
      <c r="I54" s="175"/>
      <c r="J54" s="173" t="s">
        <v>394</v>
      </c>
      <c r="K54" s="175"/>
      <c r="L54" s="173" t="s">
        <v>393</v>
      </c>
      <c r="M54" s="175"/>
      <c r="N54" s="176" t="s">
        <v>395</v>
      </c>
      <c r="O54" s="177"/>
    </row>
    <row r="55" spans="1:15" x14ac:dyDescent="0.35">
      <c r="A55" s="23" t="s">
        <v>15</v>
      </c>
      <c r="B55" s="23" t="s">
        <v>396</v>
      </c>
      <c r="C55" s="23" t="s">
        <v>17</v>
      </c>
      <c r="D55" s="23" t="s">
        <v>18</v>
      </c>
      <c r="E55" s="23" t="s">
        <v>19</v>
      </c>
      <c r="F55" s="23" t="s">
        <v>20</v>
      </c>
      <c r="G55" s="23" t="s">
        <v>21</v>
      </c>
      <c r="H55" s="23" t="s">
        <v>397</v>
      </c>
      <c r="I55" s="23" t="s">
        <v>398</v>
      </c>
      <c r="J55" s="23" t="s">
        <v>399</v>
      </c>
      <c r="K55" s="23" t="s">
        <v>400</v>
      </c>
      <c r="L55" s="23" t="s">
        <v>401</v>
      </c>
      <c r="M55" s="23" t="s">
        <v>402</v>
      </c>
      <c r="N55" s="23" t="s">
        <v>401</v>
      </c>
      <c r="O55" s="23" t="s">
        <v>402</v>
      </c>
    </row>
    <row r="56" spans="1:15" x14ac:dyDescent="0.35">
      <c r="A56" s="16">
        <v>1</v>
      </c>
      <c r="B56" s="23" t="s">
        <v>403</v>
      </c>
      <c r="C56" s="45" t="s">
        <v>404</v>
      </c>
      <c r="D56" s="16" t="s">
        <v>28</v>
      </c>
      <c r="E56" s="16">
        <v>1</v>
      </c>
      <c r="F56" s="59">
        <v>10000</v>
      </c>
      <c r="G56" s="59">
        <v>10000</v>
      </c>
      <c r="H56" s="59">
        <v>67750</v>
      </c>
      <c r="I56" s="59">
        <v>67750</v>
      </c>
      <c r="J56" s="59">
        <v>62000</v>
      </c>
      <c r="K56" s="59">
        <v>62000</v>
      </c>
      <c r="L56" s="59">
        <v>53000</v>
      </c>
      <c r="M56" s="59">
        <v>53000</v>
      </c>
      <c r="N56" s="59">
        <v>100000</v>
      </c>
      <c r="O56" s="59">
        <v>100000</v>
      </c>
    </row>
    <row r="57" spans="1:15" ht="15" customHeight="1" x14ac:dyDescent="0.35">
      <c r="A57" s="16">
        <v>2</v>
      </c>
      <c r="B57" s="23" t="s">
        <v>405</v>
      </c>
      <c r="C57" s="93" t="s">
        <v>406</v>
      </c>
      <c r="D57" s="16" t="s">
        <v>407</v>
      </c>
      <c r="E57" s="16">
        <v>300</v>
      </c>
      <c r="F57" s="59">
        <v>4</v>
      </c>
      <c r="G57" s="59">
        <v>1200</v>
      </c>
      <c r="H57" s="59">
        <v>8.5</v>
      </c>
      <c r="I57" s="59">
        <v>2550</v>
      </c>
      <c r="J57" s="59">
        <v>14</v>
      </c>
      <c r="K57" s="59">
        <v>4200</v>
      </c>
      <c r="L57" s="59">
        <v>12</v>
      </c>
      <c r="M57" s="59">
        <v>3600</v>
      </c>
      <c r="N57" s="59">
        <v>11</v>
      </c>
      <c r="O57" s="59">
        <v>3300</v>
      </c>
    </row>
    <row r="58" spans="1:15" ht="15" customHeight="1" x14ac:dyDescent="0.35">
      <c r="A58" s="16">
        <v>3</v>
      </c>
      <c r="B58" s="23" t="s">
        <v>408</v>
      </c>
      <c r="C58" s="93" t="s">
        <v>409</v>
      </c>
      <c r="D58" s="16" t="s">
        <v>407</v>
      </c>
      <c r="E58" s="16">
        <v>3000</v>
      </c>
      <c r="F58" s="59">
        <v>3</v>
      </c>
      <c r="G58" s="59">
        <v>9000</v>
      </c>
      <c r="H58" s="59">
        <v>2.5</v>
      </c>
      <c r="I58" s="59">
        <v>7500</v>
      </c>
      <c r="J58" s="59">
        <v>9</v>
      </c>
      <c r="K58" s="59">
        <v>27000</v>
      </c>
      <c r="L58" s="59">
        <v>8.25</v>
      </c>
      <c r="M58" s="59">
        <v>24750</v>
      </c>
      <c r="N58" s="59">
        <v>7.7</v>
      </c>
      <c r="O58" s="59">
        <v>23100</v>
      </c>
    </row>
    <row r="59" spans="1:15" ht="15" customHeight="1" x14ac:dyDescent="0.35">
      <c r="A59" s="16">
        <v>4</v>
      </c>
      <c r="B59" s="23" t="s">
        <v>410</v>
      </c>
      <c r="C59" s="93" t="s">
        <v>411</v>
      </c>
      <c r="D59" s="16" t="s">
        <v>412</v>
      </c>
      <c r="E59" s="16">
        <v>1300</v>
      </c>
      <c r="F59" s="59">
        <v>8</v>
      </c>
      <c r="G59" s="59">
        <v>10400</v>
      </c>
      <c r="H59" s="59">
        <v>2</v>
      </c>
      <c r="I59" s="59">
        <v>2600</v>
      </c>
      <c r="J59" s="59">
        <v>4</v>
      </c>
      <c r="K59" s="59">
        <v>5200</v>
      </c>
      <c r="L59" s="59">
        <v>3</v>
      </c>
      <c r="M59" s="59">
        <v>3900</v>
      </c>
      <c r="N59" s="59">
        <v>2.7</v>
      </c>
      <c r="O59" s="59">
        <v>3510</v>
      </c>
    </row>
    <row r="60" spans="1:15" x14ac:dyDescent="0.35">
      <c r="A60" s="16">
        <v>5</v>
      </c>
      <c r="B60" s="23" t="s">
        <v>413</v>
      </c>
      <c r="C60" s="45" t="s">
        <v>414</v>
      </c>
      <c r="D60" s="16" t="s">
        <v>28</v>
      </c>
      <c r="E60" s="16">
        <v>1</v>
      </c>
      <c r="F60" s="59">
        <v>71667</v>
      </c>
      <c r="G60" s="59">
        <v>71667</v>
      </c>
      <c r="H60" s="59">
        <v>92000</v>
      </c>
      <c r="I60" s="59">
        <v>92000</v>
      </c>
      <c r="J60" s="59">
        <v>118000</v>
      </c>
      <c r="K60" s="59">
        <v>118000</v>
      </c>
      <c r="L60" s="59">
        <v>82000</v>
      </c>
      <c r="M60" s="59">
        <v>82000</v>
      </c>
      <c r="N60" s="59">
        <v>138000</v>
      </c>
      <c r="O60" s="59">
        <v>138000</v>
      </c>
    </row>
    <row r="61" spans="1:15" ht="15" customHeight="1" x14ac:dyDescent="0.35">
      <c r="A61" s="16">
        <v>6</v>
      </c>
      <c r="B61" s="23" t="s">
        <v>415</v>
      </c>
      <c r="C61" s="93" t="s">
        <v>416</v>
      </c>
      <c r="D61" s="16" t="s">
        <v>28</v>
      </c>
      <c r="E61" s="16">
        <v>1</v>
      </c>
      <c r="F61" s="59">
        <v>37600</v>
      </c>
      <c r="G61" s="59">
        <v>37600</v>
      </c>
      <c r="H61" s="59">
        <v>15000</v>
      </c>
      <c r="I61" s="59">
        <v>15000</v>
      </c>
      <c r="J61" s="59">
        <v>49000</v>
      </c>
      <c r="K61" s="59">
        <v>49000</v>
      </c>
      <c r="L61" s="59">
        <v>35000</v>
      </c>
      <c r="M61" s="59">
        <v>35000</v>
      </c>
      <c r="N61" s="59">
        <v>21000</v>
      </c>
      <c r="O61" s="59">
        <v>21000</v>
      </c>
    </row>
    <row r="62" spans="1:15" x14ac:dyDescent="0.35">
      <c r="A62" s="16">
        <v>7</v>
      </c>
      <c r="B62" s="23" t="s">
        <v>417</v>
      </c>
      <c r="C62" s="45" t="s">
        <v>418</v>
      </c>
      <c r="D62" s="16" t="s">
        <v>28</v>
      </c>
      <c r="E62" s="16">
        <v>1</v>
      </c>
      <c r="F62" s="59">
        <v>2535</v>
      </c>
      <c r="G62" s="59">
        <v>2535</v>
      </c>
      <c r="H62" s="59">
        <v>1500</v>
      </c>
      <c r="I62" s="59">
        <v>1500</v>
      </c>
      <c r="J62" s="59">
        <v>36000</v>
      </c>
      <c r="K62" s="59">
        <v>36000</v>
      </c>
      <c r="L62" s="59"/>
      <c r="M62" s="59">
        <v>0</v>
      </c>
      <c r="N62" s="59">
        <v>9200</v>
      </c>
      <c r="O62" s="59">
        <v>9200</v>
      </c>
    </row>
    <row r="63" spans="1:15" x14ac:dyDescent="0.35">
      <c r="A63" s="16">
        <v>8</v>
      </c>
      <c r="B63" s="23" t="s">
        <v>419</v>
      </c>
      <c r="C63" s="45" t="s">
        <v>420</v>
      </c>
      <c r="D63" s="16" t="s">
        <v>28</v>
      </c>
      <c r="E63" s="16">
        <v>1</v>
      </c>
      <c r="F63" s="59">
        <v>7365</v>
      </c>
      <c r="G63" s="59">
        <v>7365</v>
      </c>
      <c r="H63" s="59">
        <v>12000</v>
      </c>
      <c r="I63" s="59">
        <v>12000</v>
      </c>
      <c r="J63" s="59">
        <v>49000</v>
      </c>
      <c r="K63" s="59">
        <v>49000</v>
      </c>
      <c r="L63" s="59">
        <v>30000</v>
      </c>
      <c r="M63" s="59">
        <v>30000</v>
      </c>
      <c r="N63" s="59">
        <v>45600</v>
      </c>
      <c r="O63" s="59">
        <v>45600</v>
      </c>
    </row>
    <row r="64" spans="1:15" x14ac:dyDescent="0.35">
      <c r="A64" s="16">
        <v>9</v>
      </c>
      <c r="B64" s="23" t="s">
        <v>421</v>
      </c>
      <c r="C64" s="45" t="s">
        <v>422</v>
      </c>
      <c r="D64" s="16" t="s">
        <v>407</v>
      </c>
      <c r="E64" s="16">
        <v>200</v>
      </c>
      <c r="F64" s="59">
        <v>11</v>
      </c>
      <c r="G64" s="59">
        <v>2200</v>
      </c>
      <c r="H64" s="59">
        <v>5</v>
      </c>
      <c r="I64" s="59">
        <v>1000</v>
      </c>
      <c r="J64" s="59">
        <v>18</v>
      </c>
      <c r="K64" s="59">
        <v>3600</v>
      </c>
      <c r="L64" s="59">
        <v>14</v>
      </c>
      <c r="M64" s="59">
        <v>2800</v>
      </c>
      <c r="N64" s="59">
        <v>3.75</v>
      </c>
      <c r="O64" s="59">
        <v>750</v>
      </c>
    </row>
    <row r="65" spans="1:15" x14ac:dyDescent="0.35">
      <c r="A65" s="16">
        <v>10</v>
      </c>
      <c r="B65" s="23" t="s">
        <v>423</v>
      </c>
      <c r="C65" s="45" t="s">
        <v>424</v>
      </c>
      <c r="D65" s="16" t="s">
        <v>425</v>
      </c>
      <c r="E65" s="16">
        <v>0.5</v>
      </c>
      <c r="F65" s="59">
        <v>15000</v>
      </c>
      <c r="G65" s="59">
        <v>7500</v>
      </c>
      <c r="H65" s="59">
        <v>6000</v>
      </c>
      <c r="I65" s="59">
        <v>3000</v>
      </c>
      <c r="J65" s="59">
        <v>52000</v>
      </c>
      <c r="K65" s="59">
        <v>26000</v>
      </c>
      <c r="L65" s="59">
        <v>11000</v>
      </c>
      <c r="M65" s="59">
        <v>5500</v>
      </c>
      <c r="N65" s="59">
        <v>19300</v>
      </c>
      <c r="O65" s="59">
        <v>9650</v>
      </c>
    </row>
    <row r="66" spans="1:15" x14ac:dyDescent="0.35">
      <c r="A66" s="16">
        <v>11</v>
      </c>
      <c r="B66" s="31" t="s">
        <v>426</v>
      </c>
      <c r="C66" s="27" t="s">
        <v>427</v>
      </c>
      <c r="D66" s="20" t="s">
        <v>428</v>
      </c>
      <c r="E66" s="16">
        <v>7007</v>
      </c>
      <c r="F66" s="59">
        <v>5</v>
      </c>
      <c r="G66" s="59">
        <v>35035</v>
      </c>
      <c r="H66" s="59">
        <v>14</v>
      </c>
      <c r="I66" s="59">
        <v>98098</v>
      </c>
      <c r="J66" s="59">
        <v>15</v>
      </c>
      <c r="K66" s="59">
        <v>105105</v>
      </c>
      <c r="L66" s="59">
        <v>12</v>
      </c>
      <c r="M66" s="59">
        <v>84084</v>
      </c>
      <c r="N66" s="59">
        <v>27</v>
      </c>
      <c r="O66" s="59">
        <v>189189</v>
      </c>
    </row>
    <row r="67" spans="1:15" x14ac:dyDescent="0.35">
      <c r="A67" s="16">
        <v>12</v>
      </c>
      <c r="B67" s="23" t="s">
        <v>429</v>
      </c>
      <c r="C67" s="45" t="s">
        <v>430</v>
      </c>
      <c r="D67" s="16" t="s">
        <v>428</v>
      </c>
      <c r="E67" s="16">
        <v>4709</v>
      </c>
      <c r="F67" s="59">
        <v>30</v>
      </c>
      <c r="G67" s="59">
        <v>141270</v>
      </c>
      <c r="H67" s="59">
        <v>34</v>
      </c>
      <c r="I67" s="59">
        <v>160106</v>
      </c>
      <c r="J67" s="59">
        <v>15</v>
      </c>
      <c r="K67" s="59">
        <v>70635</v>
      </c>
      <c r="L67" s="59">
        <v>23</v>
      </c>
      <c r="M67" s="59">
        <v>108307</v>
      </c>
      <c r="N67" s="59">
        <v>61</v>
      </c>
      <c r="O67" s="59">
        <v>287249</v>
      </c>
    </row>
    <row r="68" spans="1:15" x14ac:dyDescent="0.35">
      <c r="A68" s="16">
        <v>13</v>
      </c>
      <c r="B68" s="23" t="s">
        <v>431</v>
      </c>
      <c r="C68" s="45" t="s">
        <v>432</v>
      </c>
      <c r="D68" s="16" t="s">
        <v>428</v>
      </c>
      <c r="E68" s="16">
        <v>1000</v>
      </c>
      <c r="F68" s="59">
        <v>25</v>
      </c>
      <c r="G68" s="59">
        <v>25000</v>
      </c>
      <c r="H68" s="59">
        <v>15</v>
      </c>
      <c r="I68" s="59">
        <v>15000</v>
      </c>
      <c r="J68" s="59">
        <v>39</v>
      </c>
      <c r="K68" s="59">
        <v>39000</v>
      </c>
      <c r="L68" s="59">
        <v>30</v>
      </c>
      <c r="M68" s="59">
        <v>30000</v>
      </c>
      <c r="N68" s="59">
        <v>40</v>
      </c>
      <c r="O68" s="59">
        <v>40000</v>
      </c>
    </row>
    <row r="69" spans="1:15" x14ac:dyDescent="0.35">
      <c r="A69" s="16">
        <v>14</v>
      </c>
      <c r="B69" s="23" t="s">
        <v>433</v>
      </c>
      <c r="C69" s="45" t="s">
        <v>434</v>
      </c>
      <c r="D69" s="16" t="s">
        <v>435</v>
      </c>
      <c r="E69" s="16">
        <v>2000</v>
      </c>
      <c r="F69" s="59">
        <v>35</v>
      </c>
      <c r="G69" s="59">
        <v>70000</v>
      </c>
      <c r="H69" s="59">
        <v>30</v>
      </c>
      <c r="I69" s="59">
        <v>60000</v>
      </c>
      <c r="J69" s="59">
        <v>46</v>
      </c>
      <c r="K69" s="59">
        <v>92000</v>
      </c>
      <c r="L69" s="59">
        <v>40</v>
      </c>
      <c r="M69" s="59">
        <v>80000</v>
      </c>
      <c r="N69" s="59">
        <v>60</v>
      </c>
      <c r="O69" s="59">
        <v>120000</v>
      </c>
    </row>
    <row r="70" spans="1:15" x14ac:dyDescent="0.35">
      <c r="A70" s="16" t="s">
        <v>465</v>
      </c>
      <c r="B70" s="23" t="s">
        <v>436</v>
      </c>
      <c r="C70" s="45" t="s">
        <v>437</v>
      </c>
      <c r="D70" s="16" t="s">
        <v>435</v>
      </c>
      <c r="E70" s="16">
        <v>1395</v>
      </c>
      <c r="F70" s="59">
        <v>40</v>
      </c>
      <c r="G70" s="59">
        <v>55800</v>
      </c>
      <c r="H70" s="59">
        <v>80</v>
      </c>
      <c r="I70" s="59">
        <v>111600</v>
      </c>
      <c r="J70" s="59">
        <v>92</v>
      </c>
      <c r="K70" s="59">
        <v>128340</v>
      </c>
      <c r="L70" s="59">
        <v>80</v>
      </c>
      <c r="M70" s="59">
        <v>111600</v>
      </c>
      <c r="N70" s="59">
        <v>80</v>
      </c>
      <c r="O70" s="59">
        <v>111600</v>
      </c>
    </row>
    <row r="71" spans="1:15" x14ac:dyDescent="0.35">
      <c r="A71" s="16" t="s">
        <v>466</v>
      </c>
      <c r="B71" s="23" t="s">
        <v>438</v>
      </c>
      <c r="C71" s="45" t="s">
        <v>439</v>
      </c>
      <c r="D71" s="16" t="s">
        <v>435</v>
      </c>
      <c r="E71" s="16">
        <v>389</v>
      </c>
      <c r="F71" s="22">
        <v>225</v>
      </c>
      <c r="G71" s="59">
        <v>87525</v>
      </c>
      <c r="H71" s="59">
        <v>174</v>
      </c>
      <c r="I71" s="59">
        <v>67686</v>
      </c>
      <c r="J71" s="59">
        <v>190</v>
      </c>
      <c r="K71" s="59">
        <v>73910</v>
      </c>
      <c r="L71" s="59">
        <v>174</v>
      </c>
      <c r="M71" s="59">
        <v>67686</v>
      </c>
      <c r="N71" s="59">
        <v>213</v>
      </c>
      <c r="O71" s="59">
        <v>82857</v>
      </c>
    </row>
    <row r="72" spans="1:15" x14ac:dyDescent="0.35">
      <c r="A72" s="16" t="s">
        <v>467</v>
      </c>
      <c r="B72" s="23" t="s">
        <v>440</v>
      </c>
      <c r="C72" s="45" t="s">
        <v>441</v>
      </c>
      <c r="D72" s="16" t="s">
        <v>435</v>
      </c>
      <c r="E72" s="16">
        <v>345</v>
      </c>
      <c r="F72" s="59">
        <v>225</v>
      </c>
      <c r="G72" s="59">
        <v>77625</v>
      </c>
      <c r="H72" s="59">
        <v>206</v>
      </c>
      <c r="I72" s="59">
        <v>71070</v>
      </c>
      <c r="J72" s="59">
        <v>234</v>
      </c>
      <c r="K72" s="59">
        <v>80730</v>
      </c>
      <c r="L72" s="59">
        <v>206</v>
      </c>
      <c r="M72" s="59">
        <v>71070</v>
      </c>
      <c r="N72" s="59">
        <v>245</v>
      </c>
      <c r="O72" s="59">
        <v>84525</v>
      </c>
    </row>
    <row r="73" spans="1:15" x14ac:dyDescent="0.35">
      <c r="A73" s="16">
        <v>18</v>
      </c>
      <c r="B73" s="23" t="s">
        <v>442</v>
      </c>
      <c r="C73" s="95" t="s">
        <v>443</v>
      </c>
      <c r="D73" s="16" t="s">
        <v>412</v>
      </c>
      <c r="E73" s="16">
        <v>14</v>
      </c>
      <c r="F73" s="59">
        <v>250</v>
      </c>
      <c r="G73" s="59">
        <v>3500</v>
      </c>
      <c r="H73" s="59">
        <v>380</v>
      </c>
      <c r="I73" s="59">
        <v>5320</v>
      </c>
      <c r="J73" s="59">
        <v>68</v>
      </c>
      <c r="K73" s="59">
        <v>952</v>
      </c>
      <c r="L73" s="59">
        <v>600</v>
      </c>
      <c r="M73" s="59">
        <v>8400</v>
      </c>
      <c r="N73" s="59">
        <v>840</v>
      </c>
      <c r="O73" s="59">
        <v>11760</v>
      </c>
    </row>
    <row r="74" spans="1:15" x14ac:dyDescent="0.35">
      <c r="A74" s="16" t="s">
        <v>468</v>
      </c>
      <c r="B74" s="31" t="s">
        <v>444</v>
      </c>
      <c r="C74" s="94" t="s">
        <v>445</v>
      </c>
      <c r="D74" s="20" t="s">
        <v>446</v>
      </c>
      <c r="E74" s="16">
        <v>875</v>
      </c>
      <c r="F74" s="59">
        <v>8</v>
      </c>
      <c r="G74" s="59">
        <v>7000</v>
      </c>
      <c r="H74" s="59">
        <v>7.5</v>
      </c>
      <c r="I74" s="59">
        <v>6562.5</v>
      </c>
      <c r="J74" s="59">
        <v>10</v>
      </c>
      <c r="K74" s="59">
        <v>8750</v>
      </c>
      <c r="L74" s="59">
        <v>7.5</v>
      </c>
      <c r="M74" s="59">
        <v>6562.5</v>
      </c>
      <c r="N74" s="59">
        <v>8.9</v>
      </c>
      <c r="O74" s="59">
        <v>7787.5</v>
      </c>
    </row>
    <row r="75" spans="1:15" x14ac:dyDescent="0.35">
      <c r="A75" s="16" t="s">
        <v>469</v>
      </c>
      <c r="B75" s="23" t="s">
        <v>447</v>
      </c>
      <c r="C75" s="94" t="s">
        <v>448</v>
      </c>
      <c r="D75" s="16" t="s">
        <v>446</v>
      </c>
      <c r="E75" s="16">
        <v>285</v>
      </c>
      <c r="F75" s="59">
        <v>8</v>
      </c>
      <c r="G75" s="59">
        <v>2280</v>
      </c>
      <c r="H75" s="59">
        <v>7.75</v>
      </c>
      <c r="I75" s="59">
        <v>2208.75</v>
      </c>
      <c r="J75" s="59">
        <v>11</v>
      </c>
      <c r="K75" s="59">
        <v>3135</v>
      </c>
      <c r="L75" s="59">
        <v>7.75</v>
      </c>
      <c r="M75" s="59">
        <v>2208.75</v>
      </c>
      <c r="N75" s="59">
        <v>9.1999999999999993</v>
      </c>
      <c r="O75" s="59">
        <v>2622</v>
      </c>
    </row>
    <row r="76" spans="1:15" x14ac:dyDescent="0.35">
      <c r="A76" s="16">
        <v>21</v>
      </c>
      <c r="B76" s="23" t="s">
        <v>449</v>
      </c>
      <c r="C76" s="93" t="s">
        <v>450</v>
      </c>
      <c r="D76" s="16" t="s">
        <v>425</v>
      </c>
      <c r="E76" s="16">
        <v>7</v>
      </c>
      <c r="F76" s="59">
        <v>3500</v>
      </c>
      <c r="G76" s="59">
        <v>24500</v>
      </c>
      <c r="H76" s="59">
        <v>2600</v>
      </c>
      <c r="I76" s="59">
        <v>18200</v>
      </c>
      <c r="J76" s="59">
        <v>5800</v>
      </c>
      <c r="K76" s="59">
        <v>40600</v>
      </c>
      <c r="L76" s="59">
        <v>4600</v>
      </c>
      <c r="M76" s="59">
        <v>32200</v>
      </c>
      <c r="N76" s="59">
        <v>5360</v>
      </c>
      <c r="O76" s="59">
        <v>37520</v>
      </c>
    </row>
    <row r="77" spans="1:15" x14ac:dyDescent="0.35">
      <c r="A77" s="16">
        <v>22</v>
      </c>
      <c r="B77" s="23" t="s">
        <v>451</v>
      </c>
      <c r="C77" s="45" t="s">
        <v>452</v>
      </c>
      <c r="D77" s="16" t="s">
        <v>412</v>
      </c>
      <c r="E77" s="16">
        <v>485</v>
      </c>
      <c r="F77" s="59">
        <v>10</v>
      </c>
      <c r="G77" s="59">
        <v>4850</v>
      </c>
      <c r="H77" s="59">
        <v>10.5</v>
      </c>
      <c r="I77" s="59">
        <v>5092.5</v>
      </c>
      <c r="J77" s="59">
        <v>22</v>
      </c>
      <c r="K77" s="59">
        <v>10670</v>
      </c>
      <c r="L77" s="59">
        <v>19</v>
      </c>
      <c r="M77" s="59">
        <v>9215</v>
      </c>
      <c r="N77" s="59">
        <v>20.5</v>
      </c>
      <c r="O77" s="59">
        <v>9942.5</v>
      </c>
    </row>
    <row r="78" spans="1:15" ht="15" thickBot="1" x14ac:dyDescent="0.4">
      <c r="A78" s="16">
        <v>23</v>
      </c>
      <c r="B78" s="23" t="s">
        <v>453</v>
      </c>
      <c r="C78" s="45" t="s">
        <v>454</v>
      </c>
      <c r="D78" s="16" t="s">
        <v>428</v>
      </c>
      <c r="E78" s="16">
        <v>1341</v>
      </c>
      <c r="F78" s="59">
        <v>10</v>
      </c>
      <c r="G78" s="59">
        <v>13410</v>
      </c>
      <c r="H78" s="59">
        <v>10.5</v>
      </c>
      <c r="I78" s="59">
        <v>14080.5</v>
      </c>
      <c r="J78" s="59">
        <v>18</v>
      </c>
      <c r="K78" s="59">
        <v>24138</v>
      </c>
      <c r="L78" s="59">
        <v>14</v>
      </c>
      <c r="M78" s="59">
        <v>18774</v>
      </c>
      <c r="N78" s="59">
        <v>20</v>
      </c>
      <c r="O78" s="59">
        <v>26820</v>
      </c>
    </row>
    <row r="79" spans="1:15" hidden="1" x14ac:dyDescent="0.35">
      <c r="A79" s="81"/>
      <c r="B79" s="96"/>
      <c r="C79" s="97"/>
      <c r="D79" s="81"/>
      <c r="E79" s="81"/>
      <c r="F79" s="98"/>
      <c r="G79" s="59"/>
      <c r="H79" s="98"/>
      <c r="I79" s="59"/>
      <c r="J79" s="98"/>
      <c r="K79" s="59"/>
      <c r="L79" s="98"/>
      <c r="M79" s="59"/>
      <c r="N79" s="98"/>
      <c r="O79" s="59"/>
    </row>
    <row r="80" spans="1:15" ht="15" hidden="1" thickBot="1" x14ac:dyDescent="0.4">
      <c r="A80" s="16"/>
      <c r="B80" s="23"/>
      <c r="C80" s="45"/>
      <c r="D80" s="16"/>
      <c r="E80" s="16"/>
      <c r="F80" s="59"/>
      <c r="G80" s="59"/>
      <c r="H80" s="59"/>
      <c r="I80" s="59"/>
      <c r="J80" s="59"/>
      <c r="K80" s="59"/>
      <c r="L80" s="59"/>
      <c r="M80" s="59"/>
      <c r="N80" s="59"/>
      <c r="O80" s="59"/>
    </row>
    <row r="81" spans="1:15" ht="15" hidden="1" thickBot="1" x14ac:dyDescent="0.4">
      <c r="A81" s="20"/>
      <c r="B81" s="31"/>
      <c r="C81" s="20"/>
      <c r="D81" s="20"/>
      <c r="E81" s="16"/>
      <c r="F81" s="22"/>
      <c r="G81" s="22"/>
      <c r="H81" s="22"/>
      <c r="I81" s="22"/>
      <c r="J81" s="22"/>
      <c r="K81" s="59"/>
      <c r="L81" s="22"/>
      <c r="M81" s="22"/>
    </row>
    <row r="82" spans="1:15" ht="16" thickBot="1" x14ac:dyDescent="0.4">
      <c r="A82" s="21"/>
      <c r="B82" s="29"/>
      <c r="C82" s="21"/>
      <c r="D82" s="178" t="s">
        <v>1304</v>
      </c>
      <c r="E82" s="179"/>
      <c r="F82" s="17"/>
      <c r="G82" s="17">
        <f>SUM(G56:G80)</f>
        <v>707262</v>
      </c>
      <c r="H82" s="17"/>
      <c r="I82" s="17">
        <f>SUM(I56:I80)</f>
        <v>839924.25</v>
      </c>
      <c r="J82" s="17"/>
      <c r="K82" s="18">
        <f>SUM(K56:K80)</f>
        <v>1057965</v>
      </c>
      <c r="L82" s="17"/>
      <c r="M82" s="17">
        <f>SUM(M56:M80)</f>
        <v>870657.25</v>
      </c>
      <c r="N82" s="17"/>
      <c r="O82" s="17">
        <f t="shared" ref="O82" si="2">SUM(O56:O80)</f>
        <v>1365982</v>
      </c>
    </row>
    <row r="83" spans="1:15" ht="15" thickBot="1" x14ac:dyDescent="0.4"/>
    <row r="84" spans="1:15" ht="16.149999999999999" customHeight="1" x14ac:dyDescent="0.35">
      <c r="A84" s="173" t="s">
        <v>470</v>
      </c>
      <c r="B84" s="174"/>
      <c r="C84" s="174"/>
      <c r="D84" s="174"/>
      <c r="E84" s="175"/>
      <c r="F84" s="173" t="s">
        <v>12</v>
      </c>
      <c r="G84" s="175"/>
      <c r="H84" s="173" t="s">
        <v>392</v>
      </c>
      <c r="I84" s="175"/>
      <c r="J84" s="173" t="s">
        <v>394</v>
      </c>
      <c r="K84" s="175"/>
      <c r="L84" s="173" t="s">
        <v>393</v>
      </c>
      <c r="M84" s="175"/>
      <c r="N84" s="176" t="s">
        <v>395</v>
      </c>
      <c r="O84" s="177"/>
    </row>
    <row r="85" spans="1:15" x14ac:dyDescent="0.35">
      <c r="A85" s="23" t="s">
        <v>15</v>
      </c>
      <c r="B85" s="23" t="s">
        <v>396</v>
      </c>
      <c r="C85" s="23" t="s">
        <v>17</v>
      </c>
      <c r="D85" s="23" t="s">
        <v>18</v>
      </c>
      <c r="E85" s="23" t="s">
        <v>19</v>
      </c>
      <c r="F85" s="23" t="s">
        <v>20</v>
      </c>
      <c r="G85" s="23" t="s">
        <v>21</v>
      </c>
      <c r="H85" s="23" t="s">
        <v>397</v>
      </c>
      <c r="I85" s="23" t="s">
        <v>398</v>
      </c>
      <c r="J85" s="23" t="s">
        <v>399</v>
      </c>
      <c r="K85" s="23" t="s">
        <v>400</v>
      </c>
      <c r="L85" s="23" t="s">
        <v>401</v>
      </c>
      <c r="M85" s="23" t="s">
        <v>402</v>
      </c>
      <c r="N85" s="23" t="s">
        <v>460</v>
      </c>
      <c r="O85" s="23" t="s">
        <v>23</v>
      </c>
    </row>
    <row r="86" spans="1:15" x14ac:dyDescent="0.35">
      <c r="A86" s="16" t="s">
        <v>471</v>
      </c>
      <c r="B86" s="23" t="s">
        <v>461</v>
      </c>
      <c r="C86" s="45" t="s">
        <v>472</v>
      </c>
      <c r="D86" s="16" t="s">
        <v>28</v>
      </c>
      <c r="E86" s="16">
        <v>1</v>
      </c>
      <c r="F86" s="59">
        <v>660000</v>
      </c>
      <c r="G86" s="59">
        <v>660000</v>
      </c>
      <c r="H86" s="59">
        <v>873500</v>
      </c>
      <c r="I86" s="59">
        <v>873500</v>
      </c>
      <c r="J86" s="59">
        <v>871000</v>
      </c>
      <c r="K86" s="59">
        <v>871000</v>
      </c>
      <c r="L86" s="59">
        <v>1160000</v>
      </c>
      <c r="M86" s="59">
        <v>1160000</v>
      </c>
      <c r="N86" s="59">
        <v>806000</v>
      </c>
      <c r="O86" s="59">
        <v>806000</v>
      </c>
    </row>
    <row r="87" spans="1:15" ht="29.5" thickBot="1" x14ac:dyDescent="0.4">
      <c r="A87" s="16">
        <v>25</v>
      </c>
      <c r="B87" s="23" t="s">
        <v>461</v>
      </c>
      <c r="C87" s="93" t="s">
        <v>463</v>
      </c>
      <c r="D87" s="16" t="s">
        <v>28</v>
      </c>
      <c r="E87" s="16">
        <v>1</v>
      </c>
      <c r="F87" s="59">
        <v>50000</v>
      </c>
      <c r="G87" s="59">
        <v>50000</v>
      </c>
      <c r="H87" s="59">
        <v>4000</v>
      </c>
      <c r="I87" s="59">
        <v>4000</v>
      </c>
      <c r="J87" s="59">
        <v>3000</v>
      </c>
      <c r="K87" s="59">
        <v>3000</v>
      </c>
      <c r="L87" s="59">
        <v>3755</v>
      </c>
      <c r="M87" s="59">
        <v>3755</v>
      </c>
      <c r="N87" s="59">
        <v>14000</v>
      </c>
      <c r="O87" s="59">
        <v>14000</v>
      </c>
    </row>
    <row r="88" spans="1:15" ht="16" thickBot="1" x14ac:dyDescent="0.4">
      <c r="A88" s="21"/>
      <c r="B88" s="29"/>
      <c r="C88" s="21"/>
      <c r="D88" s="178" t="s">
        <v>1305</v>
      </c>
      <c r="E88" s="179"/>
      <c r="F88" s="17"/>
      <c r="G88" s="17">
        <f>SUM(G86:G87)</f>
        <v>710000</v>
      </c>
      <c r="H88" s="17"/>
      <c r="I88" s="17">
        <f>SUM(I86:I87)</f>
        <v>877500</v>
      </c>
      <c r="J88" s="17"/>
      <c r="K88" s="18">
        <f>SUM(K86:K87)</f>
        <v>874000</v>
      </c>
      <c r="L88" s="17"/>
      <c r="M88" s="17">
        <f>SUM(M86:M87)</f>
        <v>1163755</v>
      </c>
      <c r="N88" s="17"/>
      <c r="O88" s="17">
        <f t="shared" ref="O88" si="3">SUM(O86:O87)</f>
        <v>820000</v>
      </c>
    </row>
    <row r="89" spans="1:15" ht="15" thickBot="1" x14ac:dyDescent="0.4">
      <c r="A89" s="14"/>
      <c r="B89" s="29"/>
      <c r="C89" s="14"/>
      <c r="D89" s="14"/>
      <c r="E89" s="16"/>
      <c r="F89" s="14"/>
      <c r="G89" s="14"/>
      <c r="H89" s="14"/>
      <c r="I89" s="14"/>
      <c r="J89" s="14"/>
      <c r="K89" s="14"/>
      <c r="L89" s="14"/>
      <c r="M89" s="14"/>
      <c r="N89" s="14"/>
      <c r="O89" s="14"/>
    </row>
    <row r="90" spans="1:15" ht="16" thickBot="1" x14ac:dyDescent="0.4">
      <c r="D90" s="180" t="s">
        <v>1306</v>
      </c>
      <c r="E90" s="181"/>
      <c r="F90" s="107"/>
      <c r="G90" s="107">
        <f>SUM(G82+G88)</f>
        <v>1417262</v>
      </c>
      <c r="H90" s="107"/>
      <c r="I90" s="107">
        <f>SUM(I82+I88)</f>
        <v>1717424.25</v>
      </c>
      <c r="J90" s="107"/>
      <c r="K90" s="108">
        <f>SUM(K82+K88)</f>
        <v>1931965</v>
      </c>
      <c r="L90" s="107"/>
      <c r="M90" s="107">
        <f>SUM(M82+M88)</f>
        <v>2034412.25</v>
      </c>
      <c r="N90" s="107"/>
      <c r="O90" s="107">
        <f>SUM(O82+O88)</f>
        <v>2185982</v>
      </c>
    </row>
    <row r="91" spans="1:15" x14ac:dyDescent="0.35">
      <c r="D91" s="109"/>
      <c r="E91" s="110"/>
      <c r="F91" s="109"/>
      <c r="G91" s="109"/>
      <c r="H91" s="109"/>
      <c r="I91" s="109"/>
      <c r="J91" s="109"/>
      <c r="K91" s="109"/>
      <c r="L91" s="109"/>
      <c r="M91" s="109"/>
      <c r="N91" s="109"/>
      <c r="O91" s="109"/>
    </row>
    <row r="92" spans="1:15" x14ac:dyDescent="0.35">
      <c r="D92" s="182" t="s">
        <v>456</v>
      </c>
      <c r="E92" s="183"/>
      <c r="F92" s="111"/>
      <c r="G92" s="162" t="s">
        <v>457</v>
      </c>
      <c r="H92" s="112"/>
      <c r="I92" s="113">
        <f>I90-G90</f>
        <v>300162.25</v>
      </c>
      <c r="J92" s="112"/>
      <c r="K92" s="114">
        <f>K90-G90</f>
        <v>514703</v>
      </c>
      <c r="L92" s="111"/>
      <c r="M92" s="113">
        <f>M90-G90</f>
        <v>617150.25</v>
      </c>
      <c r="N92" s="113"/>
      <c r="O92" s="113">
        <f>O90-G90</f>
        <v>768720</v>
      </c>
    </row>
    <row r="93" spans="1:15" x14ac:dyDescent="0.35">
      <c r="D93" s="115"/>
      <c r="E93" s="116"/>
      <c r="F93" s="115"/>
      <c r="G93" s="115"/>
      <c r="H93" s="115"/>
      <c r="I93" s="115"/>
      <c r="J93" s="115"/>
      <c r="K93" s="115"/>
      <c r="L93" s="115"/>
      <c r="M93" s="117"/>
      <c r="N93" s="117"/>
      <c r="O93" s="117"/>
    </row>
    <row r="94" spans="1:15" x14ac:dyDescent="0.35">
      <c r="D94" s="184" t="s">
        <v>458</v>
      </c>
      <c r="E94" s="185"/>
      <c r="F94" s="186"/>
      <c r="G94" s="118"/>
      <c r="H94" s="119"/>
      <c r="I94" s="120">
        <f>I92/G90</f>
        <v>0.21179023356302504</v>
      </c>
      <c r="J94" s="119"/>
      <c r="K94" s="121">
        <f>K92/G90</f>
        <v>0.36316714905218656</v>
      </c>
      <c r="L94" s="118"/>
      <c r="M94" s="120">
        <f>M92/G90</f>
        <v>0.43545247808803172</v>
      </c>
      <c r="N94" s="120"/>
      <c r="O94" s="120">
        <f>O92/G90</f>
        <v>0.54239794759190607</v>
      </c>
    </row>
  </sheetData>
  <mergeCells count="34">
    <mergeCell ref="D94:F94"/>
    <mergeCell ref="A84:E84"/>
    <mergeCell ref="F84:G84"/>
    <mergeCell ref="H84:I84"/>
    <mergeCell ref="J84:K84"/>
    <mergeCell ref="D88:E88"/>
    <mergeCell ref="D90:E90"/>
    <mergeCell ref="D92:E92"/>
    <mergeCell ref="L84:M84"/>
    <mergeCell ref="N84:O84"/>
    <mergeCell ref="A54:E54"/>
    <mergeCell ref="F54:G54"/>
    <mergeCell ref="H54:I54"/>
    <mergeCell ref="D82:E82"/>
    <mergeCell ref="J54:K54"/>
    <mergeCell ref="L54:M54"/>
    <mergeCell ref="N54:O54"/>
    <mergeCell ref="D48:E48"/>
    <mergeCell ref="D50:E50"/>
    <mergeCell ref="D52:F52"/>
    <mergeCell ref="D46:E46"/>
    <mergeCell ref="L12:M12"/>
    <mergeCell ref="N12:O12"/>
    <mergeCell ref="D40:E40"/>
    <mergeCell ref="A42:E42"/>
    <mergeCell ref="A12:E12"/>
    <mergeCell ref="F12:G12"/>
    <mergeCell ref="H12:I12"/>
    <mergeCell ref="J12:K12"/>
    <mergeCell ref="F42:G42"/>
    <mergeCell ref="H42:I42"/>
    <mergeCell ref="J42:K42"/>
    <mergeCell ref="L42:M42"/>
    <mergeCell ref="N42:O42"/>
  </mergeCells>
  <phoneticPr fontId="10" type="noConversion"/>
  <pageMargins left="0.7" right="0.7" top="0.75" bottom="0.75" header="0.3" footer="0.3"/>
  <drawing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03E07-64ED-4B74-83A3-E0567C85EB03}">
  <sheetPr codeName="Sheet5"/>
  <dimension ref="A1:N122"/>
  <sheetViews>
    <sheetView zoomScale="70" zoomScaleNormal="70" workbookViewId="0">
      <selection activeCell="O36" sqref="O36"/>
    </sheetView>
  </sheetViews>
  <sheetFormatPr defaultRowHeight="14.5" x14ac:dyDescent="0.35"/>
  <cols>
    <col min="1" max="1" width="20.81640625" bestFit="1" customWidth="1"/>
    <col min="2" max="2" width="21.453125" style="32" bestFit="1" customWidth="1"/>
    <col min="3" max="3" width="82.81640625" bestFit="1" customWidth="1"/>
    <col min="4" max="4" width="11.26953125" customWidth="1"/>
    <col min="5" max="5" width="31.7265625" style="6" customWidth="1"/>
    <col min="6" max="6" width="15" bestFit="1" customWidth="1"/>
    <col min="7" max="7" width="20.81640625" bestFit="1" customWidth="1"/>
    <col min="8" max="8" width="16" bestFit="1" customWidth="1"/>
    <col min="9" max="9" width="22" bestFit="1" customWidth="1"/>
    <col min="10" max="10" width="16" bestFit="1" customWidth="1"/>
    <col min="11" max="11" width="22" bestFit="1" customWidth="1"/>
    <col min="14" max="14" width="12.81640625" bestFit="1" customWidth="1"/>
  </cols>
  <sheetData>
    <row r="1" spans="1:14" x14ac:dyDescent="0.35">
      <c r="A1" s="14"/>
      <c r="B1" s="29"/>
      <c r="C1" s="14"/>
      <c r="D1" s="14"/>
      <c r="E1" s="16"/>
      <c r="F1" s="14"/>
      <c r="G1" s="14"/>
      <c r="H1" s="14"/>
      <c r="I1" s="14"/>
      <c r="J1" s="14"/>
      <c r="K1" s="14"/>
      <c r="L1" s="14"/>
    </row>
    <row r="2" spans="1:14" x14ac:dyDescent="0.35">
      <c r="A2" s="14"/>
      <c r="B2" s="29"/>
      <c r="C2" s="14"/>
      <c r="D2" s="14"/>
      <c r="E2" s="16"/>
      <c r="F2" s="14"/>
      <c r="G2" s="14"/>
      <c r="H2" s="14"/>
      <c r="I2" s="14"/>
      <c r="J2" s="14"/>
      <c r="K2" s="14"/>
      <c r="L2" s="14"/>
    </row>
    <row r="3" spans="1:14" ht="15.5" x14ac:dyDescent="0.35">
      <c r="A3" s="15" t="s">
        <v>0</v>
      </c>
      <c r="B3" s="29" t="s">
        <v>93</v>
      </c>
      <c r="C3" s="14"/>
      <c r="D3" s="15"/>
      <c r="E3" s="16"/>
      <c r="F3" s="14"/>
      <c r="G3" s="14"/>
      <c r="H3" s="14"/>
      <c r="I3" s="14"/>
      <c r="J3" s="14"/>
      <c r="K3" s="14"/>
      <c r="L3" s="14"/>
    </row>
    <row r="4" spans="1:14" ht="15.5" x14ac:dyDescent="0.35">
      <c r="A4" s="15" t="s">
        <v>2</v>
      </c>
      <c r="B4" s="29" t="str">
        <f>VLOOKUP($B$3,DATA!$A$2:$E$80,3)</f>
        <v>Lawrenceburg</v>
      </c>
      <c r="C4" s="14"/>
      <c r="D4" s="15"/>
      <c r="E4" s="16"/>
      <c r="F4" s="14"/>
      <c r="G4" s="14"/>
      <c r="H4" s="14"/>
      <c r="I4" s="14"/>
      <c r="J4" s="14"/>
      <c r="K4" s="14"/>
      <c r="L4" s="14"/>
    </row>
    <row r="5" spans="1:14" ht="15.5" x14ac:dyDescent="0.35">
      <c r="A5" s="15" t="s">
        <v>3</v>
      </c>
      <c r="B5" s="29" t="str">
        <f>VLOOKUP($B$3,DATA!$A$2:$E$80,4)</f>
        <v>Lawrenceburg-Lawrence County</v>
      </c>
      <c r="C5" s="14"/>
      <c r="D5" s="15"/>
      <c r="E5" s="16"/>
      <c r="F5" s="14"/>
      <c r="G5" s="14"/>
      <c r="H5" s="14"/>
      <c r="I5" s="14"/>
      <c r="J5" s="14"/>
      <c r="K5" s="14"/>
      <c r="L5" s="14"/>
    </row>
    <row r="6" spans="1:14" ht="15.5" x14ac:dyDescent="0.35">
      <c r="A6" s="15" t="s">
        <v>4</v>
      </c>
      <c r="B6" s="29" t="s">
        <v>342</v>
      </c>
      <c r="C6" s="14"/>
      <c r="D6" s="15"/>
      <c r="E6" s="16"/>
      <c r="F6" s="14"/>
      <c r="G6" s="14"/>
      <c r="H6" s="14"/>
      <c r="I6" s="14"/>
      <c r="J6" s="14"/>
      <c r="K6" s="14"/>
      <c r="L6" s="14"/>
    </row>
    <row r="7" spans="1:14" ht="15.5" x14ac:dyDescent="0.35">
      <c r="A7" s="15" t="s">
        <v>6</v>
      </c>
      <c r="B7" s="156" t="s">
        <v>343</v>
      </c>
      <c r="C7" s="14"/>
      <c r="D7" s="15"/>
      <c r="E7" s="16"/>
      <c r="F7" s="14"/>
      <c r="G7" s="14"/>
      <c r="H7" s="14"/>
      <c r="I7" s="14"/>
      <c r="J7" s="14"/>
      <c r="K7" s="14"/>
      <c r="L7" s="14"/>
    </row>
    <row r="8" spans="1:14" ht="15.5" x14ac:dyDescent="0.35">
      <c r="A8" s="15" t="s">
        <v>8</v>
      </c>
      <c r="B8" s="30">
        <v>44993</v>
      </c>
      <c r="C8" s="14"/>
      <c r="D8" s="15"/>
      <c r="E8" s="33"/>
      <c r="F8" s="14"/>
      <c r="G8" s="14"/>
      <c r="H8" s="14"/>
      <c r="I8" s="14"/>
      <c r="J8" s="14"/>
      <c r="K8" s="14"/>
      <c r="L8" s="14"/>
    </row>
    <row r="9" spans="1:14" ht="15.5" x14ac:dyDescent="0.35">
      <c r="A9" s="15" t="s">
        <v>9</v>
      </c>
      <c r="B9" s="29" t="str">
        <f>VLOOKUP($B$3,DATA!$A$2:$E$80,2)</f>
        <v>Lawrence</v>
      </c>
      <c r="C9" s="14"/>
      <c r="D9" s="15"/>
      <c r="E9" s="16"/>
      <c r="F9" s="14"/>
      <c r="G9" s="14"/>
      <c r="H9" s="14"/>
      <c r="I9" s="14"/>
      <c r="J9" s="14"/>
      <c r="K9" s="14"/>
      <c r="L9" s="14"/>
    </row>
    <row r="10" spans="1:14" ht="15.5" x14ac:dyDescent="0.35">
      <c r="A10" s="15" t="s">
        <v>10</v>
      </c>
      <c r="B10" s="14" t="str">
        <f>VLOOKUP($B$3,DATA!$A$2:$E$80,5)</f>
        <v>Middle</v>
      </c>
      <c r="C10" s="14"/>
      <c r="D10" s="15"/>
      <c r="E10" s="16"/>
      <c r="F10" s="14"/>
      <c r="G10" s="14"/>
      <c r="H10" s="14"/>
      <c r="I10" s="14"/>
      <c r="J10" s="14"/>
      <c r="K10" s="14"/>
      <c r="L10" s="14"/>
      <c r="N10" s="51"/>
    </row>
    <row r="11" spans="1:14" ht="16" thickBot="1" x14ac:dyDescent="0.4">
      <c r="A11" s="15"/>
      <c r="B11" s="29"/>
      <c r="C11" s="14"/>
      <c r="D11" s="15"/>
      <c r="E11" s="16"/>
      <c r="F11" s="14"/>
      <c r="G11" s="14"/>
      <c r="H11" s="14"/>
      <c r="I11" s="14"/>
      <c r="J11" s="14"/>
      <c r="K11" s="14"/>
      <c r="L11" s="14"/>
    </row>
    <row r="12" spans="1:14" ht="16" thickBot="1" x14ac:dyDescent="0.4">
      <c r="A12" s="173" t="s">
        <v>473</v>
      </c>
      <c r="B12" s="174"/>
      <c r="C12" s="174"/>
      <c r="D12" s="174"/>
      <c r="E12" s="175"/>
      <c r="F12" s="173" t="s">
        <v>12</v>
      </c>
      <c r="G12" s="175"/>
      <c r="H12" s="173" t="s">
        <v>474</v>
      </c>
      <c r="I12" s="175"/>
      <c r="J12" s="173" t="s">
        <v>475</v>
      </c>
      <c r="K12" s="175"/>
      <c r="L12" s="14"/>
    </row>
    <row r="13" spans="1:14" ht="15" customHeight="1" thickBot="1" x14ac:dyDescent="0.4">
      <c r="A13" s="16" t="s">
        <v>15</v>
      </c>
      <c r="B13" s="23" t="s">
        <v>396</v>
      </c>
      <c r="C13" s="16" t="s">
        <v>17</v>
      </c>
      <c r="D13" s="16" t="s">
        <v>18</v>
      </c>
      <c r="E13" s="16" t="s">
        <v>19</v>
      </c>
      <c r="F13" s="16" t="s">
        <v>20</v>
      </c>
      <c r="G13" s="16" t="s">
        <v>21</v>
      </c>
      <c r="H13" s="16" t="s">
        <v>22</v>
      </c>
      <c r="I13" s="16" t="s">
        <v>23</v>
      </c>
      <c r="J13" s="16" t="s">
        <v>24</v>
      </c>
      <c r="K13" s="16" t="s">
        <v>25</v>
      </c>
      <c r="L13" s="14"/>
    </row>
    <row r="14" spans="1:14" ht="15" thickBot="1" x14ac:dyDescent="0.4">
      <c r="A14" s="16">
        <v>1</v>
      </c>
      <c r="B14" s="23" t="s">
        <v>476</v>
      </c>
      <c r="C14" s="86" t="s">
        <v>477</v>
      </c>
      <c r="D14" s="16" t="s">
        <v>478</v>
      </c>
      <c r="E14" s="46">
        <v>2</v>
      </c>
      <c r="F14" s="56">
        <v>3000</v>
      </c>
      <c r="G14" s="56">
        <v>6000</v>
      </c>
      <c r="H14" s="56">
        <v>3500</v>
      </c>
      <c r="I14" s="56">
        <v>7000</v>
      </c>
      <c r="J14" s="56">
        <v>4000</v>
      </c>
      <c r="K14" s="56">
        <v>8000</v>
      </c>
      <c r="L14" s="14"/>
    </row>
    <row r="15" spans="1:14" x14ac:dyDescent="0.35">
      <c r="A15" s="16">
        <v>2</v>
      </c>
      <c r="B15" s="23" t="s">
        <v>479</v>
      </c>
      <c r="C15" s="14" t="s">
        <v>480</v>
      </c>
      <c r="D15" s="16" t="s">
        <v>407</v>
      </c>
      <c r="E15" s="48">
        <v>2600</v>
      </c>
      <c r="F15" s="57">
        <v>5</v>
      </c>
      <c r="G15" s="56">
        <v>13000</v>
      </c>
      <c r="H15" s="57">
        <v>4.5</v>
      </c>
      <c r="I15" s="56">
        <v>11700</v>
      </c>
      <c r="J15" s="57">
        <v>4.4000000000000004</v>
      </c>
      <c r="K15" s="56">
        <v>11440</v>
      </c>
      <c r="L15" s="14"/>
    </row>
    <row r="16" spans="1:14" x14ac:dyDescent="0.35">
      <c r="A16" s="16">
        <v>3</v>
      </c>
      <c r="B16" s="23" t="s">
        <v>481</v>
      </c>
      <c r="C16" s="14" t="s">
        <v>482</v>
      </c>
      <c r="D16" s="16" t="s">
        <v>407</v>
      </c>
      <c r="E16" s="46">
        <v>825</v>
      </c>
      <c r="F16" s="57">
        <v>3</v>
      </c>
      <c r="G16" s="56">
        <v>2475</v>
      </c>
      <c r="H16" s="57">
        <v>4</v>
      </c>
      <c r="I16" s="56">
        <v>3300</v>
      </c>
      <c r="J16" s="57">
        <v>2.3199999999999998</v>
      </c>
      <c r="K16" s="56">
        <v>1914</v>
      </c>
      <c r="L16" s="14"/>
    </row>
    <row r="17" spans="1:12" x14ac:dyDescent="0.35">
      <c r="A17" s="16">
        <v>4</v>
      </c>
      <c r="B17" s="23" t="s">
        <v>483</v>
      </c>
      <c r="C17" s="14" t="s">
        <v>484</v>
      </c>
      <c r="D17" s="16" t="s">
        <v>28</v>
      </c>
      <c r="E17" s="46">
        <v>1</v>
      </c>
      <c r="F17" s="56">
        <v>10000</v>
      </c>
      <c r="G17" s="56">
        <v>10000</v>
      </c>
      <c r="H17" s="56">
        <v>15000</v>
      </c>
      <c r="I17" s="56">
        <v>15000</v>
      </c>
      <c r="J17" s="56">
        <v>84000</v>
      </c>
      <c r="K17" s="56">
        <v>84000</v>
      </c>
      <c r="L17" s="14"/>
    </row>
    <row r="18" spans="1:12" x14ac:dyDescent="0.35">
      <c r="A18" s="16">
        <v>5</v>
      </c>
      <c r="B18" s="23" t="s">
        <v>485</v>
      </c>
      <c r="C18" s="14" t="s">
        <v>486</v>
      </c>
      <c r="D18" s="16" t="s">
        <v>28</v>
      </c>
      <c r="E18" s="46">
        <v>1</v>
      </c>
      <c r="F18" s="56">
        <v>5000</v>
      </c>
      <c r="G18" s="56">
        <v>5000</v>
      </c>
      <c r="H18" s="56">
        <v>20000</v>
      </c>
      <c r="I18" s="56">
        <v>20000</v>
      </c>
      <c r="J18" s="56">
        <v>4330</v>
      </c>
      <c r="K18" s="56">
        <v>4330</v>
      </c>
      <c r="L18" s="14"/>
    </row>
    <row r="19" spans="1:12" x14ac:dyDescent="0.35">
      <c r="A19" s="16">
        <v>6</v>
      </c>
      <c r="B19" s="23" t="s">
        <v>487</v>
      </c>
      <c r="C19" s="14" t="s">
        <v>424</v>
      </c>
      <c r="D19" s="16" t="s">
        <v>425</v>
      </c>
      <c r="E19" s="50">
        <v>4.5</v>
      </c>
      <c r="F19" s="56">
        <v>5000</v>
      </c>
      <c r="G19" s="56">
        <v>22500</v>
      </c>
      <c r="H19" s="56">
        <v>12000</v>
      </c>
      <c r="I19" s="56">
        <v>54000</v>
      </c>
      <c r="J19" s="56">
        <v>30000</v>
      </c>
      <c r="K19" s="56">
        <v>135000</v>
      </c>
      <c r="L19" s="14"/>
    </row>
    <row r="20" spans="1:12" x14ac:dyDescent="0.35">
      <c r="A20" s="16">
        <v>7</v>
      </c>
      <c r="B20" s="23" t="s">
        <v>488</v>
      </c>
      <c r="C20" s="14" t="s">
        <v>489</v>
      </c>
      <c r="D20" s="16" t="s">
        <v>28</v>
      </c>
      <c r="E20" s="46">
        <v>1</v>
      </c>
      <c r="F20" s="56">
        <v>2000</v>
      </c>
      <c r="G20" s="56">
        <v>2000</v>
      </c>
      <c r="H20" s="56">
        <v>2000</v>
      </c>
      <c r="I20" s="56">
        <v>2000</v>
      </c>
      <c r="J20" s="56">
        <v>3200</v>
      </c>
      <c r="K20" s="56">
        <v>3200</v>
      </c>
      <c r="L20" s="14"/>
    </row>
    <row r="21" spans="1:12" x14ac:dyDescent="0.35">
      <c r="A21" s="16">
        <v>8</v>
      </c>
      <c r="B21" s="23" t="s">
        <v>490</v>
      </c>
      <c r="C21" s="14" t="s">
        <v>491</v>
      </c>
      <c r="D21" s="16" t="s">
        <v>28</v>
      </c>
      <c r="E21" s="46">
        <v>1</v>
      </c>
      <c r="F21" s="56">
        <v>15000</v>
      </c>
      <c r="G21" s="56">
        <v>15000</v>
      </c>
      <c r="H21" s="56">
        <v>2000</v>
      </c>
      <c r="I21" s="56">
        <v>2000</v>
      </c>
      <c r="J21" s="56">
        <v>7500</v>
      </c>
      <c r="K21" s="56">
        <v>7500</v>
      </c>
      <c r="L21" s="14"/>
    </row>
    <row r="22" spans="1:12" x14ac:dyDescent="0.35">
      <c r="A22" s="16">
        <v>9</v>
      </c>
      <c r="B22" s="23" t="s">
        <v>492</v>
      </c>
      <c r="C22" s="14" t="s">
        <v>493</v>
      </c>
      <c r="D22" s="16" t="s">
        <v>28</v>
      </c>
      <c r="E22" s="46">
        <v>1</v>
      </c>
      <c r="F22" s="56">
        <v>1000</v>
      </c>
      <c r="G22" s="56">
        <v>1000</v>
      </c>
      <c r="H22" s="56">
        <v>1000</v>
      </c>
      <c r="I22" s="56">
        <v>1000</v>
      </c>
      <c r="J22" s="57">
        <v>685</v>
      </c>
      <c r="K22" s="57">
        <v>685</v>
      </c>
      <c r="L22" s="14"/>
    </row>
    <row r="23" spans="1:12" x14ac:dyDescent="0.35">
      <c r="A23" s="16">
        <v>10</v>
      </c>
      <c r="B23" s="23" t="s">
        <v>494</v>
      </c>
      <c r="C23" s="14" t="s">
        <v>495</v>
      </c>
      <c r="D23" s="16" t="s">
        <v>28</v>
      </c>
      <c r="E23" s="46">
        <v>1</v>
      </c>
      <c r="F23" s="56">
        <v>2000</v>
      </c>
      <c r="G23" s="56">
        <v>2000</v>
      </c>
      <c r="H23" s="56">
        <v>1000</v>
      </c>
      <c r="I23" s="56">
        <v>1000</v>
      </c>
      <c r="J23" s="57">
        <v>685</v>
      </c>
      <c r="K23" s="57">
        <v>685</v>
      </c>
      <c r="L23" s="14"/>
    </row>
    <row r="24" spans="1:12" x14ac:dyDescent="0.35">
      <c r="A24" s="16">
        <v>11</v>
      </c>
      <c r="B24" s="23" t="s">
        <v>496</v>
      </c>
      <c r="C24" s="14" t="s">
        <v>497</v>
      </c>
      <c r="D24" s="16" t="s">
        <v>28</v>
      </c>
      <c r="E24" s="46">
        <v>1</v>
      </c>
      <c r="F24" s="56">
        <v>2000</v>
      </c>
      <c r="G24" s="56">
        <v>2000</v>
      </c>
      <c r="H24" s="56">
        <v>1000</v>
      </c>
      <c r="I24" s="56">
        <v>1000</v>
      </c>
      <c r="J24" s="56">
        <v>4000</v>
      </c>
      <c r="K24" s="56">
        <v>4000</v>
      </c>
      <c r="L24" s="14"/>
    </row>
    <row r="25" spans="1:12" x14ac:dyDescent="0.35">
      <c r="A25" s="16">
        <v>12</v>
      </c>
      <c r="B25" s="23" t="s">
        <v>498</v>
      </c>
      <c r="C25" s="14" t="s">
        <v>499</v>
      </c>
      <c r="D25" s="16" t="s">
        <v>407</v>
      </c>
      <c r="E25" s="48">
        <v>4280</v>
      </c>
      <c r="F25" s="57">
        <v>3</v>
      </c>
      <c r="G25" s="56">
        <v>12840</v>
      </c>
      <c r="H25" s="57">
        <v>3</v>
      </c>
      <c r="I25" s="56">
        <v>12840</v>
      </c>
      <c r="J25" s="57">
        <v>7.25</v>
      </c>
      <c r="K25" s="56">
        <v>31030</v>
      </c>
      <c r="L25" s="14"/>
    </row>
    <row r="26" spans="1:12" x14ac:dyDescent="0.35">
      <c r="A26" s="16">
        <v>13</v>
      </c>
      <c r="B26" s="23" t="s">
        <v>500</v>
      </c>
      <c r="C26" s="14" t="s">
        <v>501</v>
      </c>
      <c r="D26" s="16" t="s">
        <v>28</v>
      </c>
      <c r="E26" s="46">
        <v>1</v>
      </c>
      <c r="F26" s="56">
        <v>5000</v>
      </c>
      <c r="G26" s="56">
        <v>5000</v>
      </c>
      <c r="H26" s="56">
        <v>2500</v>
      </c>
      <c r="I26" s="56">
        <v>2500</v>
      </c>
      <c r="J26" s="56">
        <v>10000</v>
      </c>
      <c r="K26" s="56">
        <v>10000</v>
      </c>
      <c r="L26" s="14"/>
    </row>
    <row r="27" spans="1:12" x14ac:dyDescent="0.35">
      <c r="A27" s="16">
        <v>14</v>
      </c>
      <c r="B27" s="23" t="s">
        <v>502</v>
      </c>
      <c r="C27" s="14" t="s">
        <v>503</v>
      </c>
      <c r="D27" s="16" t="s">
        <v>28</v>
      </c>
      <c r="E27" s="46">
        <v>1</v>
      </c>
      <c r="F27" s="56">
        <v>30000</v>
      </c>
      <c r="G27" s="56">
        <v>30000</v>
      </c>
      <c r="H27" s="56">
        <v>25000</v>
      </c>
      <c r="I27" s="56">
        <v>25000</v>
      </c>
      <c r="J27" s="56">
        <v>40000</v>
      </c>
      <c r="K27" s="56">
        <v>40000</v>
      </c>
      <c r="L27" s="14"/>
    </row>
    <row r="28" spans="1:12" x14ac:dyDescent="0.35">
      <c r="A28" s="16">
        <v>15</v>
      </c>
      <c r="B28" s="23" t="s">
        <v>504</v>
      </c>
      <c r="C28" s="14" t="s">
        <v>505</v>
      </c>
      <c r="D28" s="16" t="s">
        <v>425</v>
      </c>
      <c r="E28" s="50">
        <v>4.5999999999999996</v>
      </c>
      <c r="F28" s="57">
        <v>500</v>
      </c>
      <c r="G28" s="56">
        <v>2300</v>
      </c>
      <c r="H28" s="56">
        <v>2000</v>
      </c>
      <c r="I28" s="56">
        <v>9200</v>
      </c>
      <c r="J28" s="56">
        <v>3400</v>
      </c>
      <c r="K28" s="56">
        <v>15640</v>
      </c>
      <c r="L28" s="14"/>
    </row>
    <row r="29" spans="1:12" ht="15" thickBot="1" x14ac:dyDescent="0.4">
      <c r="A29" s="16">
        <v>16</v>
      </c>
      <c r="B29" s="23" t="s">
        <v>506</v>
      </c>
      <c r="C29" s="14" t="s">
        <v>507</v>
      </c>
      <c r="D29" s="16" t="s">
        <v>425</v>
      </c>
      <c r="E29" s="50">
        <v>4.5999999999999996</v>
      </c>
      <c r="F29" s="57">
        <v>500</v>
      </c>
      <c r="G29" s="56">
        <v>2300</v>
      </c>
      <c r="H29" s="56">
        <v>2000</v>
      </c>
      <c r="I29" s="56">
        <v>9200</v>
      </c>
      <c r="J29" s="56">
        <v>3100</v>
      </c>
      <c r="K29" s="56">
        <v>14260</v>
      </c>
      <c r="L29" s="14"/>
    </row>
    <row r="30" spans="1:12" ht="16" thickBot="1" x14ac:dyDescent="0.4">
      <c r="A30" s="21"/>
      <c r="B30" s="29"/>
      <c r="C30" s="21"/>
      <c r="D30" s="178" t="s">
        <v>508</v>
      </c>
      <c r="E30" s="179"/>
      <c r="F30" s="17"/>
      <c r="G30" s="17">
        <f>SUM(Table001__Page_2_33[EXTENDED TOTAL])</f>
        <v>133415</v>
      </c>
      <c r="H30" s="17"/>
      <c r="I30" s="17">
        <f>SUM(I14:I29)</f>
        <v>176740</v>
      </c>
      <c r="J30" s="17"/>
      <c r="K30" s="17">
        <f>SUM(K14:K29)</f>
        <v>371684</v>
      </c>
      <c r="L30" s="14"/>
    </row>
    <row r="31" spans="1:12" ht="16" thickBot="1" x14ac:dyDescent="0.4">
      <c r="A31" s="14"/>
      <c r="B31" s="29"/>
      <c r="C31" s="14"/>
      <c r="D31" s="178" t="s">
        <v>509</v>
      </c>
      <c r="E31" s="179"/>
      <c r="F31" s="14"/>
      <c r="G31" s="53">
        <f>0.1*G30</f>
        <v>13341.5</v>
      </c>
      <c r="H31" s="14"/>
      <c r="I31" s="14"/>
      <c r="J31" s="14"/>
      <c r="K31" s="14"/>
      <c r="L31" s="14"/>
    </row>
    <row r="32" spans="1:12" ht="15" hidden="1" customHeight="1" x14ac:dyDescent="0.35">
      <c r="A32" s="14"/>
      <c r="B32" s="29"/>
      <c r="C32" s="14"/>
      <c r="D32" s="188" t="s">
        <v>456</v>
      </c>
      <c r="E32" s="189"/>
      <c r="F32" s="36"/>
      <c r="G32" s="161" t="s">
        <v>457</v>
      </c>
      <c r="H32" s="36"/>
      <c r="I32" s="38">
        <f>I30-G30</f>
        <v>43325</v>
      </c>
      <c r="J32" s="39"/>
      <c r="K32" s="38">
        <f>K30-G30</f>
        <v>238269</v>
      </c>
      <c r="L32" s="14"/>
    </row>
    <row r="33" spans="1:12" ht="15.75" hidden="1" customHeight="1" thickBot="1" x14ac:dyDescent="0.4">
      <c r="D33" s="187" t="s">
        <v>458</v>
      </c>
      <c r="E33" s="187"/>
      <c r="F33" s="52"/>
      <c r="G33" s="161" t="s">
        <v>457</v>
      </c>
      <c r="H33" s="37"/>
      <c r="I33" s="41">
        <f>I32/G30</f>
        <v>0.32473859760896451</v>
      </c>
      <c r="J33" s="41"/>
      <c r="K33" s="41">
        <f>K32/G30</f>
        <v>1.7859236217816588</v>
      </c>
      <c r="L33" s="14"/>
    </row>
    <row r="34" spans="1:12" ht="16" thickBot="1" x14ac:dyDescent="0.4">
      <c r="D34" s="178" t="s">
        <v>510</v>
      </c>
      <c r="E34" s="179"/>
      <c r="F34" s="17"/>
      <c r="G34" s="17">
        <f>G30+G31</f>
        <v>146756.5</v>
      </c>
      <c r="H34" s="17"/>
      <c r="I34" s="17">
        <f>I30</f>
        <v>176740</v>
      </c>
      <c r="J34" s="17"/>
      <c r="K34" s="17">
        <f>K30</f>
        <v>371684</v>
      </c>
      <c r="L34" s="14"/>
    </row>
    <row r="35" spans="1:12" ht="15" thickBot="1" x14ac:dyDescent="0.4">
      <c r="L35" s="14"/>
    </row>
    <row r="36" spans="1:12" ht="16" thickBot="1" x14ac:dyDescent="0.4">
      <c r="A36" s="173" t="s">
        <v>511</v>
      </c>
      <c r="B36" s="174"/>
      <c r="C36" s="174"/>
      <c r="D36" s="174"/>
      <c r="E36" s="175"/>
      <c r="F36" s="173" t="s">
        <v>12</v>
      </c>
      <c r="G36" s="175"/>
      <c r="H36" s="173" t="s">
        <v>474</v>
      </c>
      <c r="I36" s="175"/>
      <c r="J36" s="173" t="s">
        <v>475</v>
      </c>
      <c r="K36" s="175"/>
      <c r="L36" s="14"/>
    </row>
    <row r="37" spans="1:12" x14ac:dyDescent="0.35">
      <c r="A37" s="16" t="s">
        <v>15</v>
      </c>
      <c r="B37" s="23" t="s">
        <v>396</v>
      </c>
      <c r="C37" s="16" t="s">
        <v>17</v>
      </c>
      <c r="D37" s="16" t="s">
        <v>18</v>
      </c>
      <c r="E37" s="16" t="s">
        <v>19</v>
      </c>
      <c r="F37" s="16" t="s">
        <v>20</v>
      </c>
      <c r="G37" s="16" t="s">
        <v>21</v>
      </c>
      <c r="H37" s="16" t="s">
        <v>22</v>
      </c>
      <c r="I37" s="16" t="s">
        <v>23</v>
      </c>
      <c r="J37" s="16" t="s">
        <v>24</v>
      </c>
      <c r="K37" s="16" t="s">
        <v>25</v>
      </c>
      <c r="L37" s="14"/>
    </row>
    <row r="38" spans="1:12" x14ac:dyDescent="0.35">
      <c r="A38" s="23">
        <v>1</v>
      </c>
      <c r="B38" s="23" t="s">
        <v>498</v>
      </c>
      <c r="C38" s="45" t="s">
        <v>499</v>
      </c>
      <c r="D38" s="16" t="s">
        <v>407</v>
      </c>
      <c r="E38" s="48">
        <v>1080</v>
      </c>
      <c r="F38" s="57">
        <v>3</v>
      </c>
      <c r="G38" s="56">
        <v>3240</v>
      </c>
      <c r="H38" s="57">
        <v>5</v>
      </c>
      <c r="I38" s="56">
        <v>5400</v>
      </c>
      <c r="J38" s="57">
        <v>7.25</v>
      </c>
      <c r="K38" s="56">
        <v>7830</v>
      </c>
      <c r="L38" s="14"/>
    </row>
    <row r="39" spans="1:12" ht="14.5" customHeight="1" x14ac:dyDescent="0.35">
      <c r="A39" s="16">
        <v>2</v>
      </c>
      <c r="B39" s="23" t="s">
        <v>512</v>
      </c>
      <c r="C39" s="45" t="s">
        <v>513</v>
      </c>
      <c r="D39" s="16" t="s">
        <v>407</v>
      </c>
      <c r="E39" s="48">
        <v>3900</v>
      </c>
      <c r="F39" s="57">
        <v>25</v>
      </c>
      <c r="G39" s="56">
        <v>97500</v>
      </c>
      <c r="H39" s="57">
        <v>30</v>
      </c>
      <c r="I39" s="56">
        <v>117000</v>
      </c>
      <c r="J39" s="57">
        <v>31.25</v>
      </c>
      <c r="K39" s="56">
        <v>121875</v>
      </c>
      <c r="L39" s="14"/>
    </row>
    <row r="40" spans="1:12" ht="14.5" customHeight="1" thickBot="1" x14ac:dyDescent="0.4">
      <c r="A40" s="16">
        <v>3</v>
      </c>
      <c r="B40" s="23" t="s">
        <v>514</v>
      </c>
      <c r="C40" s="45" t="s">
        <v>515</v>
      </c>
      <c r="D40" s="16" t="s">
        <v>478</v>
      </c>
      <c r="E40" s="46">
        <v>1</v>
      </c>
      <c r="F40" s="56">
        <v>2500</v>
      </c>
      <c r="G40" s="56">
        <v>2500</v>
      </c>
      <c r="H40" s="56">
        <v>2000</v>
      </c>
      <c r="I40" s="56">
        <v>2000</v>
      </c>
      <c r="J40" s="56">
        <v>4630</v>
      </c>
      <c r="K40" s="56">
        <v>4630</v>
      </c>
      <c r="L40" s="14"/>
    </row>
    <row r="41" spans="1:12" ht="18.75" customHeight="1" thickBot="1" x14ac:dyDescent="0.4">
      <c r="A41" s="21"/>
      <c r="B41" s="29"/>
      <c r="C41" s="21"/>
      <c r="D41" s="178" t="s">
        <v>516</v>
      </c>
      <c r="E41" s="179"/>
      <c r="F41" s="17"/>
      <c r="G41" s="17">
        <f>SUM(G38:G40)</f>
        <v>103240</v>
      </c>
      <c r="H41" s="17"/>
      <c r="I41" s="17">
        <f>SUM(I38:I40)</f>
        <v>124400</v>
      </c>
      <c r="J41" s="17"/>
      <c r="K41" s="17">
        <f>SUM(K38:K40)</f>
        <v>134335</v>
      </c>
      <c r="L41" s="14"/>
    </row>
    <row r="42" spans="1:12" ht="16" thickBot="1" x14ac:dyDescent="0.4">
      <c r="A42" s="14"/>
      <c r="B42" s="29"/>
      <c r="C42" s="14"/>
      <c r="D42" s="178" t="s">
        <v>509</v>
      </c>
      <c r="E42" s="179"/>
      <c r="F42" s="14"/>
      <c r="G42" s="53">
        <f>0.1*G41</f>
        <v>10324</v>
      </c>
      <c r="H42" s="14"/>
      <c r="I42" s="14"/>
      <c r="J42" s="14"/>
      <c r="K42" s="14"/>
      <c r="L42" s="14"/>
    </row>
    <row r="43" spans="1:12" hidden="1" x14ac:dyDescent="0.35">
      <c r="A43" s="14"/>
      <c r="B43" s="29"/>
      <c r="C43" s="14"/>
      <c r="D43" s="188" t="s">
        <v>456</v>
      </c>
      <c r="E43" s="189"/>
      <c r="F43" s="36"/>
      <c r="G43" s="161" t="s">
        <v>457</v>
      </c>
      <c r="H43" s="36"/>
      <c r="I43" s="38">
        <f>I41-G41</f>
        <v>21160</v>
      </c>
      <c r="J43" s="39"/>
      <c r="K43" s="38">
        <f>K41-G41</f>
        <v>31095</v>
      </c>
      <c r="L43" s="14"/>
    </row>
    <row r="44" spans="1:12" ht="15" hidden="1" thickBot="1" x14ac:dyDescent="0.4">
      <c r="D44" s="187" t="s">
        <v>458</v>
      </c>
      <c r="E44" s="187"/>
      <c r="F44" s="52"/>
      <c r="G44" s="161" t="s">
        <v>457</v>
      </c>
      <c r="H44" s="37"/>
      <c r="I44" s="41">
        <f>I43/G41</f>
        <v>0.20495931809376211</v>
      </c>
      <c r="J44" s="41"/>
      <c r="K44" s="41">
        <f>K43/G41</f>
        <v>0.30119139868268113</v>
      </c>
      <c r="L44" s="14"/>
    </row>
    <row r="45" spans="1:12" ht="16" thickBot="1" x14ac:dyDescent="0.4">
      <c r="D45" s="178" t="s">
        <v>517</v>
      </c>
      <c r="E45" s="179"/>
      <c r="F45" s="17"/>
      <c r="G45" s="17">
        <f>G41+G42</f>
        <v>113564</v>
      </c>
      <c r="H45" s="17"/>
      <c r="I45" s="17">
        <f>I41</f>
        <v>124400</v>
      </c>
      <c r="J45" s="17"/>
      <c r="K45" s="17">
        <f>K41</f>
        <v>134335</v>
      </c>
      <c r="L45" s="14"/>
    </row>
    <row r="46" spans="1:12" ht="16" hidden="1" thickBot="1" x14ac:dyDescent="0.4">
      <c r="D46" s="178" t="s">
        <v>518</v>
      </c>
      <c r="E46" s="179"/>
      <c r="F46" s="17"/>
      <c r="G46" s="17">
        <f>G34+G45</f>
        <v>260320.5</v>
      </c>
      <c r="H46" s="17"/>
      <c r="I46" s="17">
        <f>I30+I41</f>
        <v>301140</v>
      </c>
      <c r="J46" s="17"/>
      <c r="K46" s="17">
        <f>K30+K41</f>
        <v>506019</v>
      </c>
      <c r="L46" s="14"/>
    </row>
    <row r="47" spans="1:12" x14ac:dyDescent="0.35">
      <c r="L47" s="14"/>
    </row>
    <row r="48" spans="1:12" x14ac:dyDescent="0.35">
      <c r="L48" s="14"/>
    </row>
    <row r="49" spans="12:12" x14ac:dyDescent="0.35">
      <c r="L49" s="14"/>
    </row>
    <row r="50" spans="12:12" x14ac:dyDescent="0.35">
      <c r="L50" s="14"/>
    </row>
    <row r="51" spans="12:12" x14ac:dyDescent="0.35">
      <c r="L51" s="14"/>
    </row>
    <row r="52" spans="12:12" x14ac:dyDescent="0.35">
      <c r="L52" s="14"/>
    </row>
    <row r="53" spans="12:12" x14ac:dyDescent="0.35">
      <c r="L53" s="14"/>
    </row>
    <row r="54" spans="12:12" x14ac:dyDescent="0.35">
      <c r="L54" s="14"/>
    </row>
    <row r="55" spans="12:12" x14ac:dyDescent="0.35">
      <c r="L55" s="14"/>
    </row>
    <row r="56" spans="12:12" x14ac:dyDescent="0.35">
      <c r="L56" s="14"/>
    </row>
    <row r="57" spans="12:12" x14ac:dyDescent="0.35">
      <c r="L57" s="14"/>
    </row>
    <row r="58" spans="12:12" x14ac:dyDescent="0.35">
      <c r="L58" s="14"/>
    </row>
    <row r="59" spans="12:12" x14ac:dyDescent="0.35">
      <c r="L59" s="14"/>
    </row>
    <row r="60" spans="12:12" x14ac:dyDescent="0.35">
      <c r="L60" s="14"/>
    </row>
    <row r="61" spans="12:12" x14ac:dyDescent="0.35">
      <c r="L61" s="14"/>
    </row>
    <row r="62" spans="12:12" x14ac:dyDescent="0.35">
      <c r="L62" s="14"/>
    </row>
    <row r="63" spans="12:12" x14ac:dyDescent="0.35">
      <c r="L63" s="14"/>
    </row>
    <row r="64" spans="12:12" x14ac:dyDescent="0.35">
      <c r="L64" s="14"/>
    </row>
    <row r="65" spans="12:12" x14ac:dyDescent="0.35">
      <c r="L65" s="14"/>
    </row>
    <row r="66" spans="12:12" x14ac:dyDescent="0.35">
      <c r="L66" s="14"/>
    </row>
    <row r="67" spans="12:12" x14ac:dyDescent="0.35">
      <c r="L67" s="14"/>
    </row>
    <row r="68" spans="12:12" x14ac:dyDescent="0.35">
      <c r="L68" s="14"/>
    </row>
    <row r="69" spans="12:12" x14ac:dyDescent="0.35">
      <c r="L69" s="14"/>
    </row>
    <row r="70" spans="12:12" x14ac:dyDescent="0.35">
      <c r="L70" s="14"/>
    </row>
    <row r="71" spans="12:12" x14ac:dyDescent="0.35">
      <c r="L71" s="14"/>
    </row>
    <row r="72" spans="12:12" x14ac:dyDescent="0.35">
      <c r="L72" s="14"/>
    </row>
    <row r="73" spans="12:12" x14ac:dyDescent="0.35">
      <c r="L73" s="14"/>
    </row>
    <row r="74" spans="12:12" x14ac:dyDescent="0.35">
      <c r="L74" s="14"/>
    </row>
    <row r="75" spans="12:12" x14ac:dyDescent="0.35">
      <c r="L75" s="14"/>
    </row>
    <row r="76" spans="12:12" x14ac:dyDescent="0.35">
      <c r="L76" s="14"/>
    </row>
    <row r="77" spans="12:12" x14ac:dyDescent="0.35">
      <c r="L77" s="14"/>
    </row>
    <row r="78" spans="12:12" x14ac:dyDescent="0.35">
      <c r="L78" s="14"/>
    </row>
    <row r="79" spans="12:12" x14ac:dyDescent="0.35">
      <c r="L79" s="14"/>
    </row>
    <row r="80" spans="12:12" x14ac:dyDescent="0.35">
      <c r="L80" s="14"/>
    </row>
    <row r="81" spans="12:12" x14ac:dyDescent="0.35">
      <c r="L81" s="14"/>
    </row>
    <row r="82" spans="12:12" x14ac:dyDescent="0.35">
      <c r="L82" s="14"/>
    </row>
    <row r="83" spans="12:12" x14ac:dyDescent="0.35">
      <c r="L83" s="14"/>
    </row>
    <row r="84" spans="12:12" x14ac:dyDescent="0.35">
      <c r="L84" s="14"/>
    </row>
    <row r="85" spans="12:12" x14ac:dyDescent="0.35">
      <c r="L85" s="14"/>
    </row>
    <row r="86" spans="12:12" x14ac:dyDescent="0.35">
      <c r="L86" s="14"/>
    </row>
    <row r="87" spans="12:12" x14ac:dyDescent="0.35">
      <c r="L87" s="14"/>
    </row>
    <row r="88" spans="12:12" x14ac:dyDescent="0.35">
      <c r="L88" s="14"/>
    </row>
    <row r="89" spans="12:12" x14ac:dyDescent="0.35">
      <c r="L89" s="14"/>
    </row>
    <row r="90" spans="12:12" x14ac:dyDescent="0.35">
      <c r="L90" s="14"/>
    </row>
    <row r="91" spans="12:12" x14ac:dyDescent="0.35">
      <c r="L91" s="14"/>
    </row>
    <row r="92" spans="12:12" x14ac:dyDescent="0.35">
      <c r="L92" s="14"/>
    </row>
    <row r="93" spans="12:12" x14ac:dyDescent="0.35">
      <c r="L93" s="14"/>
    </row>
    <row r="94" spans="12:12" x14ac:dyDescent="0.35">
      <c r="L94" s="14"/>
    </row>
    <row r="95" spans="12:12" x14ac:dyDescent="0.35">
      <c r="L95" s="14"/>
    </row>
    <row r="96" spans="12:12" x14ac:dyDescent="0.35">
      <c r="L96" s="14"/>
    </row>
    <row r="97" spans="12:12" x14ac:dyDescent="0.35">
      <c r="L97" s="14"/>
    </row>
    <row r="98" spans="12:12" x14ac:dyDescent="0.35">
      <c r="L98" s="14"/>
    </row>
    <row r="99" spans="12:12" x14ac:dyDescent="0.35">
      <c r="L99" s="14"/>
    </row>
    <row r="100" spans="12:12" x14ac:dyDescent="0.35">
      <c r="L100" s="14"/>
    </row>
    <row r="101" spans="12:12" x14ac:dyDescent="0.35">
      <c r="L101" s="14"/>
    </row>
    <row r="102" spans="12:12" x14ac:dyDescent="0.35">
      <c r="L102" s="14"/>
    </row>
    <row r="103" spans="12:12" x14ac:dyDescent="0.35">
      <c r="L103" s="14"/>
    </row>
    <row r="104" spans="12:12" x14ac:dyDescent="0.35">
      <c r="L104" s="14"/>
    </row>
    <row r="105" spans="12:12" x14ac:dyDescent="0.35">
      <c r="L105" s="14"/>
    </row>
    <row r="106" spans="12:12" x14ac:dyDescent="0.35">
      <c r="L106" s="14"/>
    </row>
    <row r="107" spans="12:12" x14ac:dyDescent="0.35">
      <c r="L107" s="14"/>
    </row>
    <row r="108" spans="12:12" x14ac:dyDescent="0.35">
      <c r="L108" s="14"/>
    </row>
    <row r="109" spans="12:12" x14ac:dyDescent="0.35">
      <c r="L109" s="14"/>
    </row>
    <row r="110" spans="12:12" x14ac:dyDescent="0.35">
      <c r="L110" s="14"/>
    </row>
    <row r="111" spans="12:12" x14ac:dyDescent="0.35">
      <c r="L111" s="14"/>
    </row>
    <row r="112" spans="12:12" x14ac:dyDescent="0.35">
      <c r="L112" s="14"/>
    </row>
    <row r="113" spans="12:12" x14ac:dyDescent="0.35">
      <c r="L113" s="14"/>
    </row>
    <row r="114" spans="12:12" x14ac:dyDescent="0.35">
      <c r="L114" s="14"/>
    </row>
    <row r="115" spans="12:12" x14ac:dyDescent="0.35">
      <c r="L115" s="14"/>
    </row>
    <row r="116" spans="12:12" x14ac:dyDescent="0.35">
      <c r="L116" s="14"/>
    </row>
    <row r="117" spans="12:12" x14ac:dyDescent="0.35">
      <c r="L117" s="14"/>
    </row>
    <row r="118" spans="12:12" x14ac:dyDescent="0.35">
      <c r="L118" s="14"/>
    </row>
    <row r="119" spans="12:12" x14ac:dyDescent="0.35">
      <c r="L119" s="14"/>
    </row>
    <row r="120" spans="12:12" x14ac:dyDescent="0.35">
      <c r="L120" s="14"/>
    </row>
    <row r="121" spans="12:12" ht="14.5" customHeight="1" x14ac:dyDescent="0.35">
      <c r="L121" s="14"/>
    </row>
    <row r="122" spans="12:12" ht="14.5" customHeight="1" x14ac:dyDescent="0.35">
      <c r="L122" s="14"/>
    </row>
  </sheetData>
  <mergeCells count="19">
    <mergeCell ref="J36:K36"/>
    <mergeCell ref="D41:E41"/>
    <mergeCell ref="D43:E43"/>
    <mergeCell ref="D32:E32"/>
    <mergeCell ref="A12:E12"/>
    <mergeCell ref="F12:G12"/>
    <mergeCell ref="H12:I12"/>
    <mergeCell ref="J12:K12"/>
    <mergeCell ref="D30:E30"/>
    <mergeCell ref="D31:E31"/>
    <mergeCell ref="D33:E33"/>
    <mergeCell ref="D34:E34"/>
    <mergeCell ref="D45:E45"/>
    <mergeCell ref="D46:E46"/>
    <mergeCell ref="A36:E36"/>
    <mergeCell ref="F36:G36"/>
    <mergeCell ref="H36:I36"/>
    <mergeCell ref="D42:E42"/>
    <mergeCell ref="D44:E44"/>
  </mergeCells>
  <phoneticPr fontId="10" type="noConversion"/>
  <pageMargins left="0.7" right="0.7" top="0.75" bottom="0.75" header="0.3" footer="0.3"/>
  <pageSetup orientation="portrait" verticalDpi="0"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606B-EDD0-4613-8907-99DC0B3DAF4B}">
  <sheetPr codeName="Sheet6"/>
  <dimension ref="A1:N115"/>
  <sheetViews>
    <sheetView zoomScale="70" zoomScaleNormal="70" workbookViewId="0"/>
  </sheetViews>
  <sheetFormatPr defaultRowHeight="14.5" x14ac:dyDescent="0.35"/>
  <cols>
    <col min="1" max="1" width="20.81640625" bestFit="1" customWidth="1"/>
    <col min="2" max="2" width="21.453125" style="32" bestFit="1" customWidth="1"/>
    <col min="3" max="3" width="122.26953125" bestFit="1" customWidth="1"/>
    <col min="4" max="4" width="11.26953125" customWidth="1"/>
    <col min="5" max="5" width="31.7265625" style="6" customWidth="1"/>
    <col min="6" max="6" width="15" bestFit="1" customWidth="1"/>
    <col min="7" max="7" width="20.81640625" bestFit="1" customWidth="1"/>
    <col min="8" max="8" width="16" bestFit="1" customWidth="1"/>
    <col min="9" max="9" width="22" bestFit="1" customWidth="1"/>
    <col min="10" max="10" width="16" hidden="1" customWidth="1"/>
    <col min="11" max="11" width="22" hidden="1" customWidth="1"/>
    <col min="14" max="14" width="12.81640625" bestFit="1" customWidth="1"/>
  </cols>
  <sheetData>
    <row r="1" spans="1:14" x14ac:dyDescent="0.35">
      <c r="A1" s="14"/>
      <c r="B1" s="29"/>
      <c r="C1" s="14"/>
      <c r="D1" s="14"/>
      <c r="E1" s="16"/>
      <c r="F1" s="14"/>
      <c r="G1" s="14"/>
      <c r="H1" s="14"/>
      <c r="I1" s="14"/>
      <c r="J1" s="14"/>
      <c r="K1" s="14"/>
      <c r="L1" s="14"/>
    </row>
    <row r="2" spans="1:14" x14ac:dyDescent="0.35">
      <c r="A2" s="14"/>
      <c r="B2" s="29"/>
      <c r="C2" s="14"/>
      <c r="D2" s="14"/>
      <c r="E2" s="16"/>
      <c r="F2" s="14"/>
      <c r="G2" s="14"/>
      <c r="H2" s="14"/>
      <c r="I2" s="14"/>
      <c r="J2" s="14"/>
      <c r="K2" s="14"/>
      <c r="L2" s="14"/>
    </row>
    <row r="3" spans="1:14" ht="15.5" x14ac:dyDescent="0.35">
      <c r="A3" s="15" t="s">
        <v>0</v>
      </c>
      <c r="B3" s="29" t="s">
        <v>159</v>
      </c>
      <c r="C3" s="14"/>
      <c r="D3" s="15"/>
      <c r="E3" s="16"/>
      <c r="F3" s="14"/>
      <c r="G3" s="14"/>
      <c r="H3" s="14"/>
      <c r="I3" s="14"/>
      <c r="J3" s="14"/>
      <c r="K3" s="14"/>
      <c r="L3" s="14"/>
    </row>
    <row r="4" spans="1:14" ht="15.5" x14ac:dyDescent="0.35">
      <c r="A4" s="15" t="s">
        <v>2</v>
      </c>
      <c r="B4" s="29" t="str">
        <f>VLOOKUP($B$3,DATA!$A$2:$E$80,3)</f>
        <v>Somerville</v>
      </c>
      <c r="C4" s="14"/>
      <c r="D4" s="15"/>
      <c r="E4" s="16"/>
      <c r="F4" s="14"/>
      <c r="G4" s="14"/>
      <c r="H4" s="14"/>
      <c r="I4" s="14"/>
      <c r="J4" s="14"/>
      <c r="K4" s="14"/>
      <c r="L4" s="14"/>
    </row>
    <row r="5" spans="1:14" ht="15.5" x14ac:dyDescent="0.35">
      <c r="A5" s="15" t="s">
        <v>3</v>
      </c>
      <c r="B5" s="29" t="str">
        <f>VLOOKUP($B$3,DATA!$A$2:$E$80,4)</f>
        <v>Fayette County</v>
      </c>
      <c r="C5" s="14"/>
      <c r="D5" s="15"/>
      <c r="E5" s="16"/>
      <c r="F5" s="14"/>
      <c r="G5" s="14"/>
      <c r="H5" s="14"/>
      <c r="I5" s="14"/>
      <c r="J5" s="14"/>
      <c r="K5" s="14"/>
      <c r="L5" s="14"/>
    </row>
    <row r="6" spans="1:14" ht="15.5" x14ac:dyDescent="0.35">
      <c r="A6" s="15" t="s">
        <v>4</v>
      </c>
      <c r="B6" s="29" t="s">
        <v>519</v>
      </c>
      <c r="C6" s="14"/>
      <c r="D6" s="15"/>
      <c r="E6" s="16"/>
      <c r="F6" s="14"/>
      <c r="G6" s="14"/>
      <c r="H6" s="14"/>
      <c r="I6" s="14"/>
      <c r="J6" s="14"/>
      <c r="K6" s="14"/>
      <c r="L6" s="14"/>
    </row>
    <row r="7" spans="1:14" ht="15.5" x14ac:dyDescent="0.35">
      <c r="A7" s="15" t="s">
        <v>6</v>
      </c>
      <c r="B7" s="158" t="s">
        <v>347</v>
      </c>
      <c r="C7" s="14"/>
      <c r="D7" s="15"/>
      <c r="E7" s="16"/>
      <c r="F7" s="14"/>
      <c r="G7" s="14"/>
      <c r="H7" s="14"/>
      <c r="I7" s="14"/>
      <c r="J7" s="14"/>
      <c r="K7" s="14"/>
      <c r="L7" s="14"/>
    </row>
    <row r="8" spans="1:14" ht="15.5" x14ac:dyDescent="0.35">
      <c r="A8" s="15" t="s">
        <v>8</v>
      </c>
      <c r="B8" s="30">
        <v>45069</v>
      </c>
      <c r="C8" s="14"/>
      <c r="D8" s="15"/>
      <c r="E8" s="33"/>
      <c r="F8" s="14"/>
      <c r="G8" s="14"/>
      <c r="H8" s="14"/>
      <c r="I8" s="14"/>
      <c r="J8" s="14"/>
      <c r="K8" s="14"/>
      <c r="L8" s="14"/>
    </row>
    <row r="9" spans="1:14" ht="15.5" x14ac:dyDescent="0.35">
      <c r="A9" s="15" t="s">
        <v>9</v>
      </c>
      <c r="B9" s="29" t="str">
        <f>VLOOKUP($B$3,DATA!$A$2:$E$80,2)</f>
        <v>Fayette</v>
      </c>
      <c r="C9" s="14"/>
      <c r="D9" s="15"/>
      <c r="E9" s="16"/>
      <c r="F9" s="14"/>
      <c r="G9" s="14"/>
      <c r="H9" s="14"/>
      <c r="I9" s="14"/>
      <c r="J9" s="14"/>
      <c r="K9" s="14"/>
      <c r="L9" s="14"/>
    </row>
    <row r="10" spans="1:14" ht="15.5" x14ac:dyDescent="0.35">
      <c r="A10" s="15" t="s">
        <v>10</v>
      </c>
      <c r="B10" s="14" t="str">
        <f>VLOOKUP($B$3,DATA!$A$2:$E$80,5)</f>
        <v>West</v>
      </c>
      <c r="C10" s="14"/>
      <c r="D10" s="15"/>
      <c r="E10" s="16"/>
      <c r="F10" s="14"/>
      <c r="G10" s="14"/>
      <c r="H10" s="14"/>
      <c r="I10" s="14"/>
      <c r="J10" s="14"/>
      <c r="K10" s="14"/>
      <c r="L10" s="14"/>
      <c r="N10" s="51"/>
    </row>
    <row r="11" spans="1:14" ht="16" thickBot="1" x14ac:dyDescent="0.4">
      <c r="A11" s="15"/>
      <c r="B11" s="29"/>
      <c r="C11" s="14"/>
      <c r="D11" s="15"/>
      <c r="E11" s="16"/>
      <c r="F11" s="14"/>
      <c r="G11" s="14"/>
      <c r="H11" s="14"/>
      <c r="I11" s="14"/>
      <c r="J11" s="14"/>
      <c r="K11" s="14"/>
      <c r="L11" s="14"/>
    </row>
    <row r="12" spans="1:14" ht="16" thickBot="1" x14ac:dyDescent="0.4">
      <c r="A12" s="173" t="s">
        <v>520</v>
      </c>
      <c r="B12" s="174"/>
      <c r="C12" s="174"/>
      <c r="D12" s="174"/>
      <c r="E12" s="175"/>
      <c r="F12" s="173" t="s">
        <v>521</v>
      </c>
      <c r="G12" s="175"/>
      <c r="H12" s="173" t="s">
        <v>522</v>
      </c>
      <c r="I12" s="175"/>
      <c r="J12" s="173" t="s">
        <v>523</v>
      </c>
      <c r="K12" s="175"/>
      <c r="L12" s="14"/>
    </row>
    <row r="13" spans="1:14" ht="15" customHeight="1" x14ac:dyDescent="0.35">
      <c r="A13" s="16" t="s">
        <v>15</v>
      </c>
      <c r="B13" s="23" t="s">
        <v>396</v>
      </c>
      <c r="C13" s="16" t="s">
        <v>17</v>
      </c>
      <c r="D13" s="16" t="s">
        <v>18</v>
      </c>
      <c r="E13" s="16" t="s">
        <v>19</v>
      </c>
      <c r="F13" s="16" t="s">
        <v>20</v>
      </c>
      <c r="G13" s="16" t="s">
        <v>21</v>
      </c>
      <c r="H13" s="16" t="s">
        <v>22</v>
      </c>
      <c r="I13" s="16" t="s">
        <v>23</v>
      </c>
      <c r="J13" s="16" t="s">
        <v>24</v>
      </c>
      <c r="K13" s="16" t="s">
        <v>25</v>
      </c>
      <c r="L13" s="14"/>
    </row>
    <row r="14" spans="1:14" x14ac:dyDescent="0.35">
      <c r="A14" s="46">
        <v>1</v>
      </c>
      <c r="B14" s="23" t="s">
        <v>483</v>
      </c>
      <c r="C14" s="14" t="s">
        <v>484</v>
      </c>
      <c r="D14" s="63" t="s">
        <v>28</v>
      </c>
      <c r="E14" s="46">
        <v>1</v>
      </c>
      <c r="F14" s="56">
        <v>90000</v>
      </c>
      <c r="G14" s="56">
        <v>90000</v>
      </c>
      <c r="H14" s="56">
        <v>91650.7</v>
      </c>
      <c r="I14" s="56">
        <v>91650.7</v>
      </c>
      <c r="J14" s="47"/>
      <c r="K14" s="47"/>
      <c r="L14" s="14"/>
    </row>
    <row r="15" spans="1:14" x14ac:dyDescent="0.35">
      <c r="A15" s="46">
        <v>2</v>
      </c>
      <c r="B15" s="23"/>
      <c r="C15" s="14" t="s">
        <v>524</v>
      </c>
      <c r="D15" s="68" t="s">
        <v>28</v>
      </c>
      <c r="E15" s="46">
        <v>1</v>
      </c>
      <c r="F15" s="56">
        <v>43000</v>
      </c>
      <c r="G15" s="56">
        <v>43000</v>
      </c>
      <c r="H15" s="56">
        <v>16425.849999999999</v>
      </c>
      <c r="I15" s="56">
        <v>16425.849999999999</v>
      </c>
      <c r="J15" s="49"/>
      <c r="K15" s="47"/>
      <c r="L15" s="14"/>
    </row>
    <row r="16" spans="1:14" x14ac:dyDescent="0.35">
      <c r="A16" s="46">
        <v>3</v>
      </c>
      <c r="B16" s="23" t="s">
        <v>525</v>
      </c>
      <c r="C16" s="14" t="s">
        <v>526</v>
      </c>
      <c r="D16" s="63" t="s">
        <v>28</v>
      </c>
      <c r="E16" s="46">
        <v>1</v>
      </c>
      <c r="F16" s="56">
        <v>50500</v>
      </c>
      <c r="G16" s="56">
        <v>50500</v>
      </c>
      <c r="H16" s="56">
        <v>10266.16</v>
      </c>
      <c r="I16" s="56">
        <v>10266.16</v>
      </c>
      <c r="J16" s="49"/>
      <c r="K16" s="47"/>
      <c r="L16" s="14"/>
    </row>
    <row r="17" spans="1:12" x14ac:dyDescent="0.35">
      <c r="A17" s="46">
        <v>4</v>
      </c>
      <c r="B17" s="23" t="s">
        <v>527</v>
      </c>
      <c r="C17" s="14" t="s">
        <v>528</v>
      </c>
      <c r="D17" s="68" t="s">
        <v>28</v>
      </c>
      <c r="E17" s="46">
        <v>1</v>
      </c>
      <c r="F17" s="56">
        <v>15000</v>
      </c>
      <c r="G17" s="56">
        <v>15000</v>
      </c>
      <c r="H17" s="56">
        <v>3292.98</v>
      </c>
      <c r="I17" s="56">
        <v>3292.98</v>
      </c>
      <c r="J17" s="28"/>
      <c r="K17" s="28"/>
      <c r="L17" s="14"/>
    </row>
    <row r="18" spans="1:12" x14ac:dyDescent="0.35">
      <c r="A18" s="46">
        <v>5</v>
      </c>
      <c r="B18" s="23" t="s">
        <v>476</v>
      </c>
      <c r="C18" s="14" t="s">
        <v>529</v>
      </c>
      <c r="D18" s="63" t="s">
        <v>28</v>
      </c>
      <c r="E18" s="46">
        <v>1</v>
      </c>
      <c r="F18" s="56">
        <v>29000</v>
      </c>
      <c r="G18" s="56">
        <v>29000</v>
      </c>
      <c r="H18" s="56">
        <v>20012.84</v>
      </c>
      <c r="I18" s="56">
        <v>20012.84</v>
      </c>
      <c r="J18" s="28"/>
      <c r="K18" s="28"/>
      <c r="L18" s="14"/>
    </row>
    <row r="19" spans="1:12" x14ac:dyDescent="0.35">
      <c r="A19" s="46">
        <v>6</v>
      </c>
      <c r="B19" s="23" t="s">
        <v>530</v>
      </c>
      <c r="C19" s="14" t="s">
        <v>531</v>
      </c>
      <c r="D19" s="68" t="s">
        <v>428</v>
      </c>
      <c r="E19" s="48">
        <v>1500</v>
      </c>
      <c r="F19" s="57">
        <v>33.049999999999997</v>
      </c>
      <c r="G19" s="56">
        <v>49575</v>
      </c>
      <c r="H19" s="57">
        <v>16.43</v>
      </c>
      <c r="I19" s="87">
        <v>24645</v>
      </c>
      <c r="J19" s="28"/>
      <c r="K19" s="28"/>
      <c r="L19" s="14"/>
    </row>
    <row r="20" spans="1:12" x14ac:dyDescent="0.35">
      <c r="A20" s="46">
        <v>7</v>
      </c>
      <c r="B20" s="23" t="s">
        <v>532</v>
      </c>
      <c r="C20" s="14" t="s">
        <v>533</v>
      </c>
      <c r="D20" s="63" t="s">
        <v>428</v>
      </c>
      <c r="E20" s="46">
        <v>200</v>
      </c>
      <c r="F20" s="57">
        <v>77</v>
      </c>
      <c r="G20" s="56">
        <v>15400</v>
      </c>
      <c r="H20" s="57">
        <v>82.13</v>
      </c>
      <c r="I20" s="87">
        <v>16426</v>
      </c>
      <c r="J20" s="28"/>
      <c r="K20" s="28"/>
      <c r="L20" s="14"/>
    </row>
    <row r="21" spans="1:12" x14ac:dyDescent="0.35">
      <c r="A21" s="46">
        <v>8</v>
      </c>
      <c r="B21" s="23" t="s">
        <v>534</v>
      </c>
      <c r="C21" s="14" t="s">
        <v>535</v>
      </c>
      <c r="D21" s="68" t="s">
        <v>435</v>
      </c>
      <c r="E21" s="48">
        <v>2880</v>
      </c>
      <c r="F21" s="57">
        <v>54.15</v>
      </c>
      <c r="G21" s="56">
        <v>155952</v>
      </c>
      <c r="H21" s="57">
        <v>79.38</v>
      </c>
      <c r="I21" s="87">
        <v>228614.39999999999</v>
      </c>
      <c r="J21" s="28"/>
      <c r="K21" s="28"/>
      <c r="L21" s="14"/>
    </row>
    <row r="22" spans="1:12" x14ac:dyDescent="0.35">
      <c r="A22" s="46">
        <v>9</v>
      </c>
      <c r="B22" s="23" t="s">
        <v>536</v>
      </c>
      <c r="C22" s="14" t="s">
        <v>537</v>
      </c>
      <c r="D22" s="63" t="s">
        <v>538</v>
      </c>
      <c r="E22" s="46">
        <v>570</v>
      </c>
      <c r="F22" s="57">
        <v>6</v>
      </c>
      <c r="G22" s="56">
        <v>3420</v>
      </c>
      <c r="H22" s="57">
        <v>8.2100000000000009</v>
      </c>
      <c r="I22" s="87">
        <v>4679.7</v>
      </c>
      <c r="J22" s="28"/>
      <c r="K22" s="28"/>
      <c r="L22" s="14"/>
    </row>
    <row r="23" spans="1:12" x14ac:dyDescent="0.35">
      <c r="A23" s="46">
        <v>10</v>
      </c>
      <c r="B23" s="23" t="s">
        <v>539</v>
      </c>
      <c r="C23" s="14" t="s">
        <v>540</v>
      </c>
      <c r="D23" s="68" t="s">
        <v>435</v>
      </c>
      <c r="E23" s="46">
        <v>490</v>
      </c>
      <c r="F23" s="57">
        <v>299.95</v>
      </c>
      <c r="G23" s="56">
        <v>146975.5</v>
      </c>
      <c r="H23" s="57">
        <v>243.1</v>
      </c>
      <c r="I23" s="87">
        <v>119119</v>
      </c>
      <c r="J23" s="28"/>
      <c r="K23" s="28"/>
      <c r="L23" s="14"/>
    </row>
    <row r="24" spans="1:12" x14ac:dyDescent="0.35">
      <c r="A24" s="46">
        <v>11</v>
      </c>
      <c r="B24" s="23" t="s">
        <v>541</v>
      </c>
      <c r="C24" s="14" t="s">
        <v>542</v>
      </c>
      <c r="D24" s="63" t="s">
        <v>435</v>
      </c>
      <c r="E24" s="46">
        <v>460</v>
      </c>
      <c r="F24" s="57">
        <v>315.3</v>
      </c>
      <c r="G24" s="56">
        <v>145038</v>
      </c>
      <c r="H24" s="57">
        <v>259.52999999999997</v>
      </c>
      <c r="I24" s="87">
        <v>119383.8</v>
      </c>
      <c r="J24" s="28"/>
      <c r="K24" s="28"/>
      <c r="L24" s="14"/>
    </row>
    <row r="25" spans="1:12" x14ac:dyDescent="0.35">
      <c r="A25" s="46">
        <v>12</v>
      </c>
      <c r="B25" s="23" t="s">
        <v>543</v>
      </c>
      <c r="C25" s="14" t="s">
        <v>544</v>
      </c>
      <c r="D25" s="68" t="s">
        <v>545</v>
      </c>
      <c r="E25" s="46">
        <v>100</v>
      </c>
      <c r="F25" s="57">
        <v>50</v>
      </c>
      <c r="G25" s="56">
        <v>5000</v>
      </c>
      <c r="H25" s="57">
        <v>82.13</v>
      </c>
      <c r="I25" s="87">
        <v>8213</v>
      </c>
      <c r="J25" s="28"/>
      <c r="K25" s="28"/>
      <c r="L25" s="14"/>
    </row>
    <row r="26" spans="1:12" x14ac:dyDescent="0.35">
      <c r="A26" s="46">
        <v>13</v>
      </c>
      <c r="B26" s="23" t="s">
        <v>546</v>
      </c>
      <c r="C26" s="14" t="s">
        <v>547</v>
      </c>
      <c r="D26" s="63" t="s">
        <v>548</v>
      </c>
      <c r="E26" s="46">
        <v>1</v>
      </c>
      <c r="F26" s="56">
        <v>4325</v>
      </c>
      <c r="G26" s="56">
        <v>4325</v>
      </c>
      <c r="H26" s="56">
        <v>6280.59</v>
      </c>
      <c r="I26" s="56">
        <v>6280.59</v>
      </c>
      <c r="J26" s="47"/>
      <c r="K26" s="47"/>
      <c r="L26" s="14"/>
    </row>
    <row r="27" spans="1:12" x14ac:dyDescent="0.35">
      <c r="A27" s="46">
        <v>14</v>
      </c>
      <c r="B27" s="23" t="s">
        <v>549</v>
      </c>
      <c r="C27" s="14" t="s">
        <v>550</v>
      </c>
      <c r="D27" s="68" t="s">
        <v>412</v>
      </c>
      <c r="E27" s="48">
        <v>1100</v>
      </c>
      <c r="F27" s="57">
        <v>7.25</v>
      </c>
      <c r="G27" s="56">
        <v>7975</v>
      </c>
      <c r="H27" s="57">
        <v>7.15</v>
      </c>
      <c r="I27" s="87">
        <v>7865</v>
      </c>
      <c r="J27" s="47"/>
      <c r="K27" s="47"/>
      <c r="L27" s="14"/>
    </row>
    <row r="28" spans="1:12" x14ac:dyDescent="0.35">
      <c r="A28" s="46">
        <v>15</v>
      </c>
      <c r="B28" s="23" t="s">
        <v>551</v>
      </c>
      <c r="C28" s="14" t="s">
        <v>552</v>
      </c>
      <c r="D28" s="63" t="s">
        <v>428</v>
      </c>
      <c r="E28" s="46">
        <v>600</v>
      </c>
      <c r="F28" s="57">
        <v>13.5</v>
      </c>
      <c r="G28" s="56">
        <v>8100</v>
      </c>
      <c r="H28" s="57">
        <v>16.43</v>
      </c>
      <c r="I28" s="87">
        <v>9858</v>
      </c>
      <c r="J28" s="47"/>
      <c r="K28" s="47"/>
      <c r="L28" s="14"/>
    </row>
    <row r="29" spans="1:12" x14ac:dyDescent="0.35">
      <c r="A29" s="46">
        <v>16</v>
      </c>
      <c r="B29" s="23" t="s">
        <v>553</v>
      </c>
      <c r="C29" s="14" t="s">
        <v>554</v>
      </c>
      <c r="D29" s="68" t="s">
        <v>407</v>
      </c>
      <c r="E29" s="46">
        <v>87</v>
      </c>
      <c r="F29" s="57">
        <v>149.4</v>
      </c>
      <c r="G29" s="56">
        <v>12997.8</v>
      </c>
      <c r="H29" s="57">
        <v>197.11</v>
      </c>
      <c r="I29" s="87">
        <v>17148.57</v>
      </c>
      <c r="J29" s="47"/>
      <c r="K29" s="47"/>
      <c r="L29" s="14"/>
    </row>
    <row r="30" spans="1:12" x14ac:dyDescent="0.35">
      <c r="A30" s="46">
        <v>17</v>
      </c>
      <c r="B30" s="23" t="s">
        <v>555</v>
      </c>
      <c r="C30" s="14" t="s">
        <v>556</v>
      </c>
      <c r="D30" s="63" t="s">
        <v>478</v>
      </c>
      <c r="E30" s="46">
        <v>1</v>
      </c>
      <c r="F30" s="56">
        <v>4183</v>
      </c>
      <c r="G30" s="56">
        <v>4183</v>
      </c>
      <c r="H30" s="56">
        <v>5256.27</v>
      </c>
      <c r="I30" s="56">
        <v>5256.27</v>
      </c>
      <c r="J30" s="47"/>
      <c r="K30" s="47"/>
      <c r="L30" s="14"/>
    </row>
    <row r="31" spans="1:12" x14ac:dyDescent="0.35">
      <c r="A31" s="46">
        <v>18</v>
      </c>
      <c r="B31" s="23" t="s">
        <v>557</v>
      </c>
      <c r="C31" s="14" t="s">
        <v>558</v>
      </c>
      <c r="D31" s="68" t="s">
        <v>407</v>
      </c>
      <c r="E31" s="46">
        <v>80</v>
      </c>
      <c r="F31" s="57">
        <v>348.5</v>
      </c>
      <c r="G31" s="56">
        <v>27880</v>
      </c>
      <c r="H31" s="57">
        <v>328.52</v>
      </c>
      <c r="I31" s="87">
        <v>26281.599999999999</v>
      </c>
      <c r="J31" s="49"/>
      <c r="K31" s="49"/>
      <c r="L31" s="14"/>
    </row>
    <row r="32" spans="1:12" x14ac:dyDescent="0.35">
      <c r="A32" s="46">
        <v>19</v>
      </c>
      <c r="B32" s="23" t="s">
        <v>559</v>
      </c>
      <c r="C32" s="14" t="s">
        <v>560</v>
      </c>
      <c r="D32" s="63" t="s">
        <v>478</v>
      </c>
      <c r="E32" s="46">
        <v>2</v>
      </c>
      <c r="F32" s="56">
        <v>4511.5</v>
      </c>
      <c r="G32" s="56">
        <v>9023</v>
      </c>
      <c r="H32" s="56">
        <v>9855.51</v>
      </c>
      <c r="I32" s="56">
        <v>19711.02</v>
      </c>
      <c r="J32" s="49"/>
      <c r="K32" s="49"/>
      <c r="L32" s="14"/>
    </row>
    <row r="33" spans="1:12" x14ac:dyDescent="0.35">
      <c r="A33" s="46">
        <v>20</v>
      </c>
      <c r="B33" s="23"/>
      <c r="C33" s="14" t="s">
        <v>561</v>
      </c>
      <c r="D33" s="68" t="s">
        <v>407</v>
      </c>
      <c r="E33" s="46">
        <v>385</v>
      </c>
      <c r="F33" s="57">
        <v>31.2</v>
      </c>
      <c r="G33" s="56">
        <v>12012</v>
      </c>
      <c r="H33" s="57">
        <v>65.7</v>
      </c>
      <c r="I33" s="87">
        <v>25294.5</v>
      </c>
      <c r="J33" s="47"/>
      <c r="K33" s="47"/>
      <c r="L33" s="14"/>
    </row>
    <row r="34" spans="1:12" x14ac:dyDescent="0.35">
      <c r="A34" s="46">
        <v>21</v>
      </c>
      <c r="B34" s="23"/>
      <c r="C34" s="14" t="s">
        <v>562</v>
      </c>
      <c r="D34" s="63" t="s">
        <v>407</v>
      </c>
      <c r="E34" s="46">
        <v>240</v>
      </c>
      <c r="F34" s="57">
        <v>298.25</v>
      </c>
      <c r="G34" s="56">
        <v>71580</v>
      </c>
      <c r="H34" s="57">
        <v>985.55</v>
      </c>
      <c r="I34" s="87">
        <v>236532</v>
      </c>
      <c r="J34" s="49"/>
      <c r="K34" s="47"/>
      <c r="L34" s="14"/>
    </row>
    <row r="35" spans="1:12" x14ac:dyDescent="0.35">
      <c r="A35" s="46">
        <v>22</v>
      </c>
      <c r="B35" s="23" t="s">
        <v>563</v>
      </c>
      <c r="C35" s="14" t="s">
        <v>564</v>
      </c>
      <c r="D35" s="68" t="s">
        <v>478</v>
      </c>
      <c r="E35" s="46">
        <v>1</v>
      </c>
      <c r="F35" s="56">
        <v>9343</v>
      </c>
      <c r="G35" s="56">
        <v>9343</v>
      </c>
      <c r="H35" s="56">
        <v>13140.68</v>
      </c>
      <c r="I35" s="56">
        <v>13140.68</v>
      </c>
      <c r="J35" s="47"/>
      <c r="K35" s="47"/>
      <c r="L35" s="14"/>
    </row>
    <row r="36" spans="1:12" x14ac:dyDescent="0.35">
      <c r="A36" s="46">
        <v>23</v>
      </c>
      <c r="B36" s="23"/>
      <c r="C36" s="45" t="s">
        <v>565</v>
      </c>
      <c r="D36" s="63" t="s">
        <v>566</v>
      </c>
      <c r="E36" s="46">
        <v>425</v>
      </c>
      <c r="F36" s="57">
        <v>80.45</v>
      </c>
      <c r="G36" s="56">
        <v>34191.25</v>
      </c>
      <c r="H36" s="57">
        <v>95.84</v>
      </c>
      <c r="I36" s="87">
        <v>40732</v>
      </c>
      <c r="J36" s="47"/>
      <c r="K36" s="47"/>
      <c r="L36" s="14"/>
    </row>
    <row r="37" spans="1:12" ht="15" thickBot="1" x14ac:dyDescent="0.4">
      <c r="A37" s="46">
        <v>24</v>
      </c>
      <c r="B37" s="23" t="s">
        <v>567</v>
      </c>
      <c r="C37" s="45" t="s">
        <v>568</v>
      </c>
      <c r="D37" s="68" t="s">
        <v>566</v>
      </c>
      <c r="E37" s="46">
        <v>175</v>
      </c>
      <c r="F37" s="57">
        <v>84.95</v>
      </c>
      <c r="G37" s="56">
        <v>14866.25</v>
      </c>
      <c r="H37" s="57">
        <v>133.51</v>
      </c>
      <c r="I37" s="87">
        <v>23364.25</v>
      </c>
      <c r="J37" s="47"/>
      <c r="K37" s="47"/>
      <c r="L37" s="14"/>
    </row>
    <row r="38" spans="1:12" ht="16" thickBot="1" x14ac:dyDescent="0.4">
      <c r="D38" s="178" t="s">
        <v>510</v>
      </c>
      <c r="E38" s="179"/>
      <c r="F38" s="17"/>
      <c r="G38" s="17">
        <f>SUM(G14:G37)</f>
        <v>965336.8</v>
      </c>
      <c r="H38" s="17"/>
      <c r="I38" s="17">
        <f>SUM(I14:I37)</f>
        <v>1094193.9100000001</v>
      </c>
      <c r="J38" s="17"/>
      <c r="K38" s="17" t="e">
        <f>#REF!</f>
        <v>#REF!</v>
      </c>
      <c r="L38" s="14"/>
    </row>
    <row r="39" spans="1:12" ht="15" thickBot="1" x14ac:dyDescent="0.4">
      <c r="L39" s="14"/>
    </row>
    <row r="40" spans="1:12" ht="14.5" customHeight="1" thickBot="1" x14ac:dyDescent="0.4">
      <c r="A40" s="173" t="s">
        <v>511</v>
      </c>
      <c r="B40" s="174"/>
      <c r="C40" s="174"/>
      <c r="D40" s="174"/>
      <c r="E40" s="175"/>
      <c r="F40" s="173" t="s">
        <v>521</v>
      </c>
      <c r="G40" s="175"/>
      <c r="H40" s="173" t="s">
        <v>522</v>
      </c>
      <c r="I40" s="175"/>
      <c r="J40" s="173" t="s">
        <v>523</v>
      </c>
      <c r="K40" s="175"/>
      <c r="L40" s="14"/>
    </row>
    <row r="41" spans="1:12" ht="14.5" customHeight="1" x14ac:dyDescent="0.35">
      <c r="A41" s="16" t="s">
        <v>15</v>
      </c>
      <c r="B41" s="23" t="s">
        <v>396</v>
      </c>
      <c r="C41" s="16" t="s">
        <v>17</v>
      </c>
      <c r="D41" s="16" t="s">
        <v>18</v>
      </c>
      <c r="E41" s="16" t="s">
        <v>19</v>
      </c>
      <c r="F41" s="16" t="s">
        <v>20</v>
      </c>
      <c r="G41" s="16" t="s">
        <v>21</v>
      </c>
      <c r="H41" s="16" t="s">
        <v>22</v>
      </c>
      <c r="I41" s="16" t="s">
        <v>23</v>
      </c>
      <c r="J41" s="16" t="s">
        <v>24</v>
      </c>
      <c r="K41" s="16" t="s">
        <v>25</v>
      </c>
      <c r="L41" s="14"/>
    </row>
    <row r="42" spans="1:12" ht="15" thickBot="1" x14ac:dyDescent="0.4">
      <c r="A42" s="54">
        <v>25</v>
      </c>
      <c r="B42" s="23" t="s">
        <v>569</v>
      </c>
      <c r="C42" s="45" t="s">
        <v>570</v>
      </c>
      <c r="D42" s="48">
        <v>2890</v>
      </c>
      <c r="E42" s="16" t="s">
        <v>538</v>
      </c>
      <c r="F42" s="57">
        <v>10.25</v>
      </c>
      <c r="G42" s="56">
        <v>29622.5</v>
      </c>
      <c r="H42" s="57">
        <v>12</v>
      </c>
      <c r="I42" s="56">
        <v>34680</v>
      </c>
      <c r="J42" s="49"/>
      <c r="K42" s="47"/>
      <c r="L42" s="14"/>
    </row>
    <row r="43" spans="1:12" ht="16" thickBot="1" x14ac:dyDescent="0.4">
      <c r="D43" s="178" t="s">
        <v>571</v>
      </c>
      <c r="E43" s="179"/>
      <c r="F43" s="17"/>
      <c r="G43" s="17">
        <f>G42</f>
        <v>29622.5</v>
      </c>
      <c r="H43" s="17"/>
      <c r="I43" s="17">
        <f>I42</f>
        <v>34680</v>
      </c>
      <c r="J43" s="17"/>
      <c r="K43" s="17" t="e">
        <f>#REF!</f>
        <v>#REF!</v>
      </c>
      <c r="L43" s="14"/>
    </row>
    <row r="44" spans="1:12" ht="16" hidden="1" thickBot="1" x14ac:dyDescent="0.4">
      <c r="D44" s="178" t="s">
        <v>572</v>
      </c>
      <c r="E44" s="179"/>
      <c r="F44" s="17"/>
      <c r="G44" s="17">
        <f>G38+G43</f>
        <v>994959.3</v>
      </c>
      <c r="H44" s="17"/>
      <c r="I44" s="17">
        <f>I38+I43</f>
        <v>1128873.9100000001</v>
      </c>
      <c r="J44" s="17"/>
      <c r="K44" s="17" t="e">
        <f>#REF!+#REF!</f>
        <v>#REF!</v>
      </c>
      <c r="L44" s="14"/>
    </row>
    <row r="45" spans="1:12" x14ac:dyDescent="0.35">
      <c r="L45" s="14"/>
    </row>
    <row r="46" spans="1:12" x14ac:dyDescent="0.35">
      <c r="L46" s="14"/>
    </row>
    <row r="47" spans="1:12" x14ac:dyDescent="0.35">
      <c r="L47" s="14"/>
    </row>
    <row r="48" spans="1:12" x14ac:dyDescent="0.35">
      <c r="L48" s="14"/>
    </row>
    <row r="49" spans="12:12" x14ac:dyDescent="0.35">
      <c r="L49" s="14"/>
    </row>
    <row r="50" spans="12:12" x14ac:dyDescent="0.35">
      <c r="L50" s="14"/>
    </row>
    <row r="51" spans="12:12" x14ac:dyDescent="0.35">
      <c r="L51" s="14"/>
    </row>
    <row r="52" spans="12:12" x14ac:dyDescent="0.35">
      <c r="L52" s="14"/>
    </row>
    <row r="53" spans="12:12" x14ac:dyDescent="0.35">
      <c r="L53" s="14"/>
    </row>
    <row r="54" spans="12:12" x14ac:dyDescent="0.35">
      <c r="L54" s="14"/>
    </row>
    <row r="55" spans="12:12" x14ac:dyDescent="0.35">
      <c r="L55" s="14"/>
    </row>
    <row r="56" spans="12:12" x14ac:dyDescent="0.35">
      <c r="L56" s="14"/>
    </row>
    <row r="57" spans="12:12" x14ac:dyDescent="0.35">
      <c r="L57" s="14"/>
    </row>
    <row r="58" spans="12:12" x14ac:dyDescent="0.35">
      <c r="L58" s="14"/>
    </row>
    <row r="59" spans="12:12" x14ac:dyDescent="0.35">
      <c r="L59" s="14"/>
    </row>
    <row r="60" spans="12:12" x14ac:dyDescent="0.35">
      <c r="L60" s="14"/>
    </row>
    <row r="61" spans="12:12" x14ac:dyDescent="0.35">
      <c r="L61" s="14"/>
    </row>
    <row r="62" spans="12:12" x14ac:dyDescent="0.35">
      <c r="L62" s="14"/>
    </row>
    <row r="63" spans="12:12" x14ac:dyDescent="0.35">
      <c r="L63" s="14"/>
    </row>
    <row r="64" spans="12:12" x14ac:dyDescent="0.35">
      <c r="L64" s="14"/>
    </row>
    <row r="65" spans="12:12" x14ac:dyDescent="0.35">
      <c r="L65" s="14"/>
    </row>
    <row r="66" spans="12:12" x14ac:dyDescent="0.35">
      <c r="L66" s="14"/>
    </row>
    <row r="67" spans="12:12" x14ac:dyDescent="0.35">
      <c r="L67" s="14"/>
    </row>
    <row r="68" spans="12:12" x14ac:dyDescent="0.35">
      <c r="L68" s="14"/>
    </row>
    <row r="69" spans="12:12" x14ac:dyDescent="0.35">
      <c r="L69" s="14"/>
    </row>
    <row r="70" spans="12:12" x14ac:dyDescent="0.35">
      <c r="L70" s="14"/>
    </row>
    <row r="71" spans="12:12" x14ac:dyDescent="0.35">
      <c r="L71" s="14"/>
    </row>
    <row r="72" spans="12:12" x14ac:dyDescent="0.35">
      <c r="L72" s="14"/>
    </row>
    <row r="73" spans="12:12" x14ac:dyDescent="0.35">
      <c r="L73" s="14"/>
    </row>
    <row r="74" spans="12:12" x14ac:dyDescent="0.35">
      <c r="L74" s="14"/>
    </row>
    <row r="75" spans="12:12" x14ac:dyDescent="0.35">
      <c r="L75" s="14"/>
    </row>
    <row r="76" spans="12:12" x14ac:dyDescent="0.35">
      <c r="L76" s="14"/>
    </row>
    <row r="77" spans="12:12" x14ac:dyDescent="0.35">
      <c r="L77" s="14"/>
    </row>
    <row r="78" spans="12:12" x14ac:dyDescent="0.35">
      <c r="L78" s="14"/>
    </row>
    <row r="79" spans="12:12" x14ac:dyDescent="0.35">
      <c r="L79" s="14"/>
    </row>
    <row r="80" spans="12:12" x14ac:dyDescent="0.35">
      <c r="L80" s="14"/>
    </row>
    <row r="81" spans="12:12" x14ac:dyDescent="0.35">
      <c r="L81" s="14"/>
    </row>
    <row r="82" spans="12:12" x14ac:dyDescent="0.35">
      <c r="L82" s="14"/>
    </row>
    <row r="83" spans="12:12" x14ac:dyDescent="0.35">
      <c r="L83" s="14"/>
    </row>
    <row r="84" spans="12:12" x14ac:dyDescent="0.35">
      <c r="L84" s="14"/>
    </row>
    <row r="85" spans="12:12" x14ac:dyDescent="0.35">
      <c r="L85" s="14"/>
    </row>
    <row r="86" spans="12:12" x14ac:dyDescent="0.35">
      <c r="L86" s="14"/>
    </row>
    <row r="87" spans="12:12" x14ac:dyDescent="0.35">
      <c r="L87" s="14"/>
    </row>
    <row r="88" spans="12:12" x14ac:dyDescent="0.35">
      <c r="L88" s="14"/>
    </row>
    <row r="89" spans="12:12" x14ac:dyDescent="0.35">
      <c r="L89" s="14"/>
    </row>
    <row r="90" spans="12:12" x14ac:dyDescent="0.35">
      <c r="L90" s="14"/>
    </row>
    <row r="91" spans="12:12" x14ac:dyDescent="0.35">
      <c r="L91" s="14"/>
    </row>
    <row r="92" spans="12:12" x14ac:dyDescent="0.35">
      <c r="L92" s="14"/>
    </row>
    <row r="93" spans="12:12" x14ac:dyDescent="0.35">
      <c r="L93" s="14"/>
    </row>
    <row r="94" spans="12:12" x14ac:dyDescent="0.35">
      <c r="L94" s="14"/>
    </row>
    <row r="95" spans="12:12" x14ac:dyDescent="0.35">
      <c r="L95" s="14"/>
    </row>
    <row r="96" spans="12:12" x14ac:dyDescent="0.35">
      <c r="L96" s="14"/>
    </row>
    <row r="97" spans="12:12" x14ac:dyDescent="0.35">
      <c r="L97" s="14"/>
    </row>
    <row r="98" spans="12:12" x14ac:dyDescent="0.35">
      <c r="L98" s="14"/>
    </row>
    <row r="99" spans="12:12" x14ac:dyDescent="0.35">
      <c r="L99" s="14"/>
    </row>
    <row r="100" spans="12:12" x14ac:dyDescent="0.35">
      <c r="L100" s="14"/>
    </row>
    <row r="101" spans="12:12" x14ac:dyDescent="0.35">
      <c r="L101" s="14"/>
    </row>
    <row r="102" spans="12:12" x14ac:dyDescent="0.35">
      <c r="L102" s="14"/>
    </row>
    <row r="103" spans="12:12" x14ac:dyDescent="0.35">
      <c r="L103" s="14"/>
    </row>
    <row r="104" spans="12:12" x14ac:dyDescent="0.35">
      <c r="L104" s="14"/>
    </row>
    <row r="105" spans="12:12" x14ac:dyDescent="0.35">
      <c r="L105" s="14"/>
    </row>
    <row r="106" spans="12:12" x14ac:dyDescent="0.35">
      <c r="L106" s="14"/>
    </row>
    <row r="107" spans="12:12" x14ac:dyDescent="0.35">
      <c r="L107" s="14"/>
    </row>
    <row r="108" spans="12:12" x14ac:dyDescent="0.35">
      <c r="L108" s="14"/>
    </row>
    <row r="109" spans="12:12" x14ac:dyDescent="0.35">
      <c r="L109" s="14"/>
    </row>
    <row r="110" spans="12:12" x14ac:dyDescent="0.35">
      <c r="L110" s="14"/>
    </row>
    <row r="111" spans="12:12" x14ac:dyDescent="0.35">
      <c r="L111" s="14"/>
    </row>
    <row r="112" spans="12:12" x14ac:dyDescent="0.35">
      <c r="L112" s="14"/>
    </row>
    <row r="113" spans="12:12" x14ac:dyDescent="0.35">
      <c r="L113" s="14"/>
    </row>
    <row r="114" spans="12:12" ht="14.5" customHeight="1" x14ac:dyDescent="0.35">
      <c r="L114" s="14"/>
    </row>
    <row r="115" spans="12:12" ht="14.5" customHeight="1" x14ac:dyDescent="0.35">
      <c r="L115" s="14"/>
    </row>
  </sheetData>
  <mergeCells count="11">
    <mergeCell ref="A12:E12"/>
    <mergeCell ref="F12:G12"/>
    <mergeCell ref="H12:I12"/>
    <mergeCell ref="J12:K12"/>
    <mergeCell ref="D44:E44"/>
    <mergeCell ref="J40:K40"/>
    <mergeCell ref="D43:E43"/>
    <mergeCell ref="D38:E38"/>
    <mergeCell ref="A40:E40"/>
    <mergeCell ref="F40:G40"/>
    <mergeCell ref="H40:I40"/>
  </mergeCells>
  <pageMargins left="0.7" right="0.7" top="0.75" bottom="0.75" header="0.3" footer="0.3"/>
  <pageSetup orientation="portrait" verticalDpi="0" r:id="rId1"/>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993D9-1A17-44BB-99FA-1148AEA52F17}">
  <dimension ref="A1:K179"/>
  <sheetViews>
    <sheetView topLeftCell="A109" zoomScale="70" zoomScaleNormal="70" zoomScaleSheetLayoutView="50" zoomScalePageLayoutView="70" workbookViewId="0">
      <selection activeCell="N127" sqref="N127"/>
    </sheetView>
  </sheetViews>
  <sheetFormatPr defaultRowHeight="14.5" x14ac:dyDescent="0.35"/>
  <cols>
    <col min="1" max="1" width="20.81640625" bestFit="1" customWidth="1"/>
    <col min="2" max="2" width="21.453125" style="32" bestFit="1" customWidth="1"/>
    <col min="3" max="3" width="127.453125" customWidth="1"/>
    <col min="4" max="4" width="10" bestFit="1" customWidth="1"/>
    <col min="5" max="5" width="25.54296875" style="6" bestFit="1" customWidth="1"/>
    <col min="6" max="6" width="15" bestFit="1" customWidth="1"/>
    <col min="7" max="7" width="20.81640625" bestFit="1" customWidth="1"/>
    <col min="8" max="8" width="16" customWidth="1"/>
    <col min="9" max="9" width="22" customWidth="1"/>
    <col min="10" max="10" width="16" bestFit="1" customWidth="1"/>
    <col min="11" max="11" width="22" bestFit="1" customWidth="1"/>
  </cols>
  <sheetData>
    <row r="1" spans="1:11" x14ac:dyDescent="0.35">
      <c r="A1" s="14"/>
      <c r="B1" s="29"/>
      <c r="C1" s="14"/>
      <c r="D1" s="14"/>
      <c r="E1" s="16"/>
      <c r="F1" s="14"/>
      <c r="G1" s="14"/>
      <c r="H1" s="14"/>
      <c r="I1" s="14"/>
      <c r="J1" s="14"/>
      <c r="K1" s="14"/>
    </row>
    <row r="2" spans="1:11" x14ac:dyDescent="0.35">
      <c r="A2" s="14"/>
      <c r="B2" s="29"/>
      <c r="C2" s="14"/>
      <c r="D2" s="14"/>
      <c r="E2" s="16"/>
      <c r="F2" s="14"/>
      <c r="G2" s="14"/>
      <c r="H2" s="14"/>
      <c r="I2" s="14"/>
      <c r="J2" s="14"/>
      <c r="K2" s="14"/>
    </row>
    <row r="3" spans="1:11" ht="15.5" x14ac:dyDescent="0.35">
      <c r="A3" s="15" t="s">
        <v>0</v>
      </c>
      <c r="B3" s="29" t="s">
        <v>190</v>
      </c>
      <c r="C3" s="14"/>
      <c r="D3" s="15"/>
      <c r="E3" s="16"/>
      <c r="F3" s="14"/>
      <c r="G3" s="14"/>
      <c r="H3" s="14"/>
      <c r="I3" s="14"/>
      <c r="J3" s="14"/>
      <c r="K3" s="14"/>
    </row>
    <row r="4" spans="1:11" ht="15.5" x14ac:dyDescent="0.35">
      <c r="A4" s="15" t="s">
        <v>2</v>
      </c>
      <c r="B4" s="29" t="str">
        <f>VLOOKUP($B$3,DATA!$A$2:$E$80,3)</f>
        <v>Nashville</v>
      </c>
      <c r="C4" s="14"/>
      <c r="D4" s="15"/>
      <c r="E4" s="16"/>
      <c r="F4" s="14"/>
      <c r="G4" s="14"/>
      <c r="H4" s="14"/>
      <c r="I4" s="14"/>
      <c r="J4" s="14"/>
      <c r="K4" s="14"/>
    </row>
    <row r="5" spans="1:11" ht="15.5" x14ac:dyDescent="0.35">
      <c r="A5" s="15" t="s">
        <v>3</v>
      </c>
      <c r="B5" s="29" t="str">
        <f>VLOOKUP($B$3,DATA!$A$2:$E$80,4)</f>
        <v>John C. Tune</v>
      </c>
      <c r="C5" s="14"/>
      <c r="D5" s="15"/>
      <c r="E5" s="16"/>
      <c r="F5" s="14"/>
      <c r="G5" s="14"/>
      <c r="H5" s="14"/>
      <c r="I5" s="14"/>
      <c r="J5" s="14"/>
      <c r="K5" s="14"/>
    </row>
    <row r="6" spans="1:11" ht="15.5" x14ac:dyDescent="0.35">
      <c r="A6" s="15" t="s">
        <v>4</v>
      </c>
      <c r="B6" s="29" t="s">
        <v>354</v>
      </c>
      <c r="C6" s="14"/>
      <c r="D6" s="15"/>
      <c r="E6" s="16"/>
      <c r="F6" s="14"/>
      <c r="G6" s="14"/>
      <c r="H6" s="14"/>
      <c r="I6" s="14"/>
      <c r="J6" s="14"/>
      <c r="K6" s="14"/>
    </row>
    <row r="7" spans="1:11" ht="15.5" x14ac:dyDescent="0.35">
      <c r="A7" s="15" t="s">
        <v>6</v>
      </c>
      <c r="B7" s="163"/>
      <c r="C7" s="14"/>
      <c r="D7" s="15"/>
      <c r="E7" s="16"/>
      <c r="F7" s="14"/>
      <c r="G7" s="14"/>
      <c r="H7" s="14"/>
      <c r="I7" s="14"/>
      <c r="J7" s="14"/>
      <c r="K7" s="14"/>
    </row>
    <row r="8" spans="1:11" ht="15.5" x14ac:dyDescent="0.35">
      <c r="A8" s="15" t="s">
        <v>8</v>
      </c>
      <c r="B8" s="30">
        <v>45190</v>
      </c>
      <c r="C8" s="14"/>
      <c r="D8" s="15"/>
      <c r="E8" s="33"/>
      <c r="F8" s="14"/>
      <c r="G8" s="14"/>
      <c r="H8" s="14"/>
      <c r="I8" s="14"/>
      <c r="J8" s="14"/>
      <c r="K8" s="14"/>
    </row>
    <row r="9" spans="1:11" ht="15.5" x14ac:dyDescent="0.35">
      <c r="A9" s="15" t="s">
        <v>9</v>
      </c>
      <c r="B9" s="29" t="str">
        <f>VLOOKUP($B$3,DATA!$A$2:$E$80,2)</f>
        <v>Davidson</v>
      </c>
      <c r="C9" s="14"/>
      <c r="D9" s="15"/>
      <c r="E9" s="16"/>
      <c r="F9" s="14"/>
      <c r="G9" s="14"/>
      <c r="H9" s="14"/>
      <c r="I9" s="14"/>
      <c r="J9" s="14"/>
      <c r="K9" s="14"/>
    </row>
    <row r="10" spans="1:11" ht="15.5" x14ac:dyDescent="0.35">
      <c r="A10" s="15" t="s">
        <v>10</v>
      </c>
      <c r="B10" s="29" t="str">
        <f>VLOOKUP($B$3,DATA!$A$2:$E$80,5)</f>
        <v>Middle</v>
      </c>
      <c r="C10" s="14"/>
      <c r="D10" s="15"/>
      <c r="E10" s="16"/>
      <c r="F10" s="14"/>
      <c r="G10" s="14"/>
      <c r="H10" s="14"/>
      <c r="I10" s="14"/>
      <c r="J10" s="14"/>
      <c r="K10" s="14"/>
    </row>
    <row r="11" spans="1:11" ht="16" thickBot="1" x14ac:dyDescent="0.4">
      <c r="A11" s="15"/>
      <c r="B11" s="29"/>
      <c r="C11" s="14"/>
      <c r="D11" s="15"/>
      <c r="E11" s="16"/>
      <c r="F11" s="14"/>
      <c r="G11" s="14"/>
      <c r="H11" s="14"/>
      <c r="I11" s="14"/>
      <c r="J11" s="14"/>
      <c r="K11" s="14"/>
    </row>
    <row r="12" spans="1:11" ht="16" thickBot="1" x14ac:dyDescent="0.4">
      <c r="A12" s="173" t="s">
        <v>1307</v>
      </c>
      <c r="B12" s="174"/>
      <c r="C12" s="174"/>
      <c r="D12" s="174"/>
      <c r="E12" s="175"/>
      <c r="F12" s="173" t="s">
        <v>12</v>
      </c>
      <c r="G12" s="175"/>
      <c r="H12" s="173" t="s">
        <v>592</v>
      </c>
      <c r="I12" s="175"/>
      <c r="J12" s="173" t="s">
        <v>593</v>
      </c>
      <c r="K12" s="175"/>
    </row>
    <row r="13" spans="1:11" x14ac:dyDescent="0.35">
      <c r="A13" s="23" t="s">
        <v>15</v>
      </c>
      <c r="B13" s="23" t="s">
        <v>396</v>
      </c>
      <c r="C13" s="23" t="s">
        <v>17</v>
      </c>
      <c r="D13" s="23" t="s">
        <v>18</v>
      </c>
      <c r="E13" s="23" t="s">
        <v>19</v>
      </c>
      <c r="F13" s="23" t="s">
        <v>20</v>
      </c>
      <c r="G13" s="23" t="s">
        <v>21</v>
      </c>
      <c r="H13" s="23" t="s">
        <v>397</v>
      </c>
      <c r="I13" s="23" t="s">
        <v>398</v>
      </c>
      <c r="J13" s="23" t="s">
        <v>399</v>
      </c>
      <c r="K13" s="23" t="s">
        <v>400</v>
      </c>
    </row>
    <row r="14" spans="1:11" ht="15" customHeight="1" x14ac:dyDescent="0.35">
      <c r="A14" s="46">
        <v>1</v>
      </c>
      <c r="B14" s="16" t="s">
        <v>594</v>
      </c>
      <c r="C14" s="45" t="s">
        <v>595</v>
      </c>
      <c r="D14" s="16" t="s">
        <v>28</v>
      </c>
      <c r="E14" s="46">
        <v>1</v>
      </c>
      <c r="F14" s="56">
        <v>29670</v>
      </c>
      <c r="G14" s="59">
        <v>29670</v>
      </c>
      <c r="H14" s="59">
        <v>17600</v>
      </c>
      <c r="I14" s="59">
        <v>17600</v>
      </c>
      <c r="J14" s="59">
        <v>31650</v>
      </c>
      <c r="K14" s="59">
        <f>Table001__Page_2_38[[#This Row],[UNIT COST  ]]*Table001__Page_2_38[[#This Row],[ESTIMATED QUANTITY]]</f>
        <v>31650</v>
      </c>
    </row>
    <row r="15" spans="1:11" x14ac:dyDescent="0.35">
      <c r="A15" s="46">
        <v>2</v>
      </c>
      <c r="B15" s="105" t="s">
        <v>476</v>
      </c>
      <c r="C15" s="45" t="s">
        <v>596</v>
      </c>
      <c r="D15" s="16" t="s">
        <v>478</v>
      </c>
      <c r="E15" s="46">
        <v>5</v>
      </c>
      <c r="F15" s="56">
        <v>1150</v>
      </c>
      <c r="G15" s="59">
        <v>5750</v>
      </c>
      <c r="H15" s="59">
        <v>4450</v>
      </c>
      <c r="I15" s="59">
        <v>22250</v>
      </c>
      <c r="J15" s="59">
        <v>850</v>
      </c>
      <c r="K15" s="59">
        <f>Table001__Page_2_38[[#This Row],[UNIT COST  ]]*Table001__Page_2_38[[#This Row],[ESTIMATED QUANTITY]]</f>
        <v>4250</v>
      </c>
    </row>
    <row r="16" spans="1:11" ht="15" customHeight="1" x14ac:dyDescent="0.35">
      <c r="A16" s="46">
        <v>3</v>
      </c>
      <c r="B16" s="105" t="s">
        <v>479</v>
      </c>
      <c r="C16" s="45" t="s">
        <v>597</v>
      </c>
      <c r="D16" s="16" t="s">
        <v>478</v>
      </c>
      <c r="E16" s="46">
        <v>2</v>
      </c>
      <c r="F16" s="56">
        <v>1725</v>
      </c>
      <c r="G16" s="59">
        <v>3450</v>
      </c>
      <c r="H16" s="59">
        <v>1480</v>
      </c>
      <c r="I16" s="59">
        <v>2960</v>
      </c>
      <c r="J16" s="59">
        <v>945</v>
      </c>
      <c r="K16" s="59">
        <f>Table001__Page_2_38[[#This Row],[UNIT COST  ]]*Table001__Page_2_38[[#This Row],[ESTIMATED QUANTITY]]</f>
        <v>1890</v>
      </c>
    </row>
    <row r="17" spans="1:11" ht="15" customHeight="1" x14ac:dyDescent="0.35">
      <c r="A17" s="46">
        <v>4</v>
      </c>
      <c r="B17" s="105" t="s">
        <v>26</v>
      </c>
      <c r="C17" s="45" t="s">
        <v>598</v>
      </c>
      <c r="D17" s="16" t="s">
        <v>28</v>
      </c>
      <c r="E17" s="46">
        <v>1</v>
      </c>
      <c r="F17" s="56">
        <v>79925</v>
      </c>
      <c r="G17" s="59">
        <v>79925</v>
      </c>
      <c r="H17" s="59">
        <v>63700</v>
      </c>
      <c r="I17" s="59">
        <v>63700</v>
      </c>
      <c r="J17" s="59">
        <v>49400</v>
      </c>
      <c r="K17" s="59">
        <f>Table001__Page_2_38[[#This Row],[UNIT COST  ]]*Table001__Page_2_38[[#This Row],[ESTIMATED QUANTITY]]</f>
        <v>49400</v>
      </c>
    </row>
    <row r="18" spans="1:11" x14ac:dyDescent="0.35">
      <c r="A18" s="46">
        <v>5</v>
      </c>
      <c r="B18" s="16" t="s">
        <v>599</v>
      </c>
      <c r="C18" s="45" t="s">
        <v>600</v>
      </c>
      <c r="D18" s="16" t="s">
        <v>28</v>
      </c>
      <c r="E18" s="46">
        <v>1</v>
      </c>
      <c r="F18" s="56">
        <v>29900</v>
      </c>
      <c r="G18" s="59">
        <v>29900</v>
      </c>
      <c r="H18" s="59">
        <v>3000</v>
      </c>
      <c r="I18" s="59">
        <v>3000</v>
      </c>
      <c r="J18" s="59">
        <v>7600</v>
      </c>
      <c r="K18" s="59">
        <f>Table001__Page_2_38[[#This Row],[UNIT COST  ]]*Table001__Page_2_38[[#This Row],[ESTIMATED QUANTITY]]</f>
        <v>7600</v>
      </c>
    </row>
    <row r="19" spans="1:11" ht="15" customHeight="1" x14ac:dyDescent="0.35">
      <c r="A19" s="46">
        <v>6</v>
      </c>
      <c r="B19" s="105" t="s">
        <v>601</v>
      </c>
      <c r="C19" s="45" t="s">
        <v>602</v>
      </c>
      <c r="D19" s="16" t="s">
        <v>28</v>
      </c>
      <c r="E19" s="46">
        <v>1</v>
      </c>
      <c r="F19" s="56">
        <v>28750</v>
      </c>
      <c r="G19" s="59">
        <v>28750</v>
      </c>
      <c r="H19" s="59">
        <v>15000</v>
      </c>
      <c r="I19" s="59">
        <v>15000</v>
      </c>
      <c r="J19" s="59">
        <v>16550</v>
      </c>
      <c r="K19" s="59">
        <f>Table001__Page_2_38[[#This Row],[UNIT COST  ]]*Table001__Page_2_38[[#This Row],[ESTIMATED QUANTITY]]</f>
        <v>16550</v>
      </c>
    </row>
    <row r="20" spans="1:11" ht="15" customHeight="1" x14ac:dyDescent="0.35">
      <c r="A20" s="46">
        <v>7</v>
      </c>
      <c r="B20" s="16" t="s">
        <v>603</v>
      </c>
      <c r="C20" s="45" t="s">
        <v>604</v>
      </c>
      <c r="D20" s="16" t="s">
        <v>28</v>
      </c>
      <c r="E20" s="46">
        <v>1</v>
      </c>
      <c r="F20" s="56">
        <v>9775</v>
      </c>
      <c r="G20" s="59">
        <v>9775</v>
      </c>
      <c r="H20" s="59">
        <v>9000</v>
      </c>
      <c r="I20" s="59">
        <v>9000</v>
      </c>
      <c r="J20" s="59">
        <v>22840</v>
      </c>
      <c r="K20" s="59">
        <f>Table001__Page_2_38[[#This Row],[UNIT COST  ]]*Table001__Page_2_38[[#This Row],[ESTIMATED QUANTITY]]</f>
        <v>22840</v>
      </c>
    </row>
    <row r="21" spans="1:11" ht="15" customHeight="1" x14ac:dyDescent="0.35">
      <c r="A21" s="46">
        <v>8</v>
      </c>
      <c r="B21" s="16" t="s">
        <v>605</v>
      </c>
      <c r="C21" s="45" t="s">
        <v>606</v>
      </c>
      <c r="D21" s="16" t="s">
        <v>412</v>
      </c>
      <c r="E21" s="48">
        <v>1005</v>
      </c>
      <c r="F21" s="57">
        <v>17</v>
      </c>
      <c r="G21" s="59">
        <v>17085</v>
      </c>
      <c r="H21" s="59">
        <v>34</v>
      </c>
      <c r="I21" s="59">
        <v>34170</v>
      </c>
      <c r="J21" s="59">
        <v>16.600000000000001</v>
      </c>
      <c r="K21" s="59">
        <f>Table001__Page_2_38[[#This Row],[UNIT COST  ]]*Table001__Page_2_38[[#This Row],[ESTIMATED QUANTITY]]</f>
        <v>16683</v>
      </c>
    </row>
    <row r="22" spans="1:11" ht="15" customHeight="1" x14ac:dyDescent="0.35">
      <c r="A22" s="46">
        <v>9</v>
      </c>
      <c r="B22" s="16" t="s">
        <v>607</v>
      </c>
      <c r="C22" s="45" t="s">
        <v>608</v>
      </c>
      <c r="D22" s="16" t="s">
        <v>428</v>
      </c>
      <c r="E22" s="48">
        <v>2089</v>
      </c>
      <c r="F22" s="57">
        <v>69</v>
      </c>
      <c r="G22" s="59">
        <v>144141</v>
      </c>
      <c r="H22" s="59">
        <v>77</v>
      </c>
      <c r="I22" s="59">
        <v>160853</v>
      </c>
      <c r="J22" s="59">
        <v>49.5</v>
      </c>
      <c r="K22" s="59">
        <f>Table001__Page_2_38[[#This Row],[UNIT COST  ]]*Table001__Page_2_38[[#This Row],[ESTIMATED QUANTITY]]</f>
        <v>103405.5</v>
      </c>
    </row>
    <row r="23" spans="1:11" ht="15" customHeight="1" x14ac:dyDescent="0.35">
      <c r="A23" s="46">
        <v>10</v>
      </c>
      <c r="B23" s="16" t="s">
        <v>609</v>
      </c>
      <c r="C23" s="45" t="s">
        <v>610</v>
      </c>
      <c r="D23" s="16" t="s">
        <v>407</v>
      </c>
      <c r="E23" s="46">
        <v>347</v>
      </c>
      <c r="F23" s="57">
        <v>35</v>
      </c>
      <c r="G23" s="59">
        <v>12145</v>
      </c>
      <c r="H23" s="59">
        <v>32</v>
      </c>
      <c r="I23" s="59">
        <v>11104</v>
      </c>
      <c r="J23" s="59">
        <v>11.18</v>
      </c>
      <c r="K23" s="59">
        <f>Table001__Page_2_38[[#This Row],[UNIT COST  ]]*Table001__Page_2_38[[#This Row],[ESTIMATED QUANTITY]]</f>
        <v>3879.46</v>
      </c>
    </row>
    <row r="24" spans="1:11" ht="15" customHeight="1" x14ac:dyDescent="0.35">
      <c r="A24" s="46">
        <v>11</v>
      </c>
      <c r="B24" s="16" t="s">
        <v>611</v>
      </c>
      <c r="C24" s="45" t="s">
        <v>612</v>
      </c>
      <c r="D24" s="16" t="s">
        <v>435</v>
      </c>
      <c r="E24" s="46">
        <v>510</v>
      </c>
      <c r="F24" s="57">
        <v>58</v>
      </c>
      <c r="G24" s="59">
        <v>29580</v>
      </c>
      <c r="H24" s="59">
        <v>66</v>
      </c>
      <c r="I24" s="59">
        <v>33660</v>
      </c>
      <c r="J24" s="59">
        <v>61.24</v>
      </c>
      <c r="K24" s="59">
        <f>Table001__Page_2_38[[#This Row],[UNIT COST  ]]*Table001__Page_2_38[[#This Row],[ESTIMATED QUANTITY]]</f>
        <v>31232.400000000001</v>
      </c>
    </row>
    <row r="25" spans="1:11" ht="15" customHeight="1" x14ac:dyDescent="0.35">
      <c r="A25" s="46">
        <v>12</v>
      </c>
      <c r="B25" s="16" t="s">
        <v>613</v>
      </c>
      <c r="C25" s="45" t="s">
        <v>614</v>
      </c>
      <c r="D25" s="16" t="s">
        <v>435</v>
      </c>
      <c r="E25" s="46">
        <v>130</v>
      </c>
      <c r="F25" s="57">
        <v>224</v>
      </c>
      <c r="G25" s="59">
        <v>29120</v>
      </c>
      <c r="H25" s="59">
        <v>221</v>
      </c>
      <c r="I25" s="59">
        <v>28730</v>
      </c>
      <c r="J25" s="59">
        <v>161</v>
      </c>
      <c r="K25" s="59">
        <f>Table001__Page_2_38[[#This Row],[UNIT COST  ]]*Table001__Page_2_38[[#This Row],[ESTIMATED QUANTITY]]</f>
        <v>20930</v>
      </c>
    </row>
    <row r="26" spans="1:11" ht="15" customHeight="1" x14ac:dyDescent="0.35">
      <c r="A26" s="46">
        <v>13</v>
      </c>
      <c r="B26" s="16" t="s">
        <v>615</v>
      </c>
      <c r="C26" s="45" t="s">
        <v>616</v>
      </c>
      <c r="D26" s="16" t="s">
        <v>446</v>
      </c>
      <c r="E26" s="46">
        <v>340</v>
      </c>
      <c r="F26" s="57">
        <v>7</v>
      </c>
      <c r="G26" s="59">
        <v>2380</v>
      </c>
      <c r="H26" s="59">
        <v>6</v>
      </c>
      <c r="I26" s="59">
        <v>2040</v>
      </c>
      <c r="J26" s="59">
        <v>8</v>
      </c>
      <c r="K26" s="59">
        <f>Table001__Page_2_38[[#This Row],[UNIT COST  ]]*Table001__Page_2_38[[#This Row],[ESTIMATED QUANTITY]]</f>
        <v>2720</v>
      </c>
    </row>
    <row r="27" spans="1:11" ht="15" customHeight="1" x14ac:dyDescent="0.35">
      <c r="A27" s="46">
        <v>14</v>
      </c>
      <c r="B27" s="16" t="s">
        <v>617</v>
      </c>
      <c r="C27" s="45" t="s">
        <v>618</v>
      </c>
      <c r="D27" s="16" t="s">
        <v>446</v>
      </c>
      <c r="E27" s="46">
        <v>140</v>
      </c>
      <c r="F27" s="57">
        <v>7</v>
      </c>
      <c r="G27" s="59">
        <v>980</v>
      </c>
      <c r="H27" s="59">
        <v>6</v>
      </c>
      <c r="I27" s="59">
        <v>840</v>
      </c>
      <c r="J27" s="59">
        <v>12</v>
      </c>
      <c r="K27" s="59">
        <f>Table001__Page_2_38[[#This Row],[UNIT COST  ]]*Table001__Page_2_38[[#This Row],[ESTIMATED QUANTITY]]</f>
        <v>1680</v>
      </c>
    </row>
    <row r="28" spans="1:11" ht="15" customHeight="1" x14ac:dyDescent="0.35">
      <c r="A28" s="46">
        <v>15</v>
      </c>
      <c r="B28" s="16" t="s">
        <v>619</v>
      </c>
      <c r="C28" s="45" t="s">
        <v>620</v>
      </c>
      <c r="D28" s="16" t="s">
        <v>435</v>
      </c>
      <c r="E28" s="46">
        <v>100</v>
      </c>
      <c r="F28" s="57">
        <v>247</v>
      </c>
      <c r="G28" s="59">
        <v>24700</v>
      </c>
      <c r="H28" s="59">
        <v>277</v>
      </c>
      <c r="I28" s="59">
        <v>27700</v>
      </c>
      <c r="J28" s="59">
        <v>212</v>
      </c>
      <c r="K28" s="59">
        <f>Table001__Page_2_38[[#This Row],[UNIT COST  ]]*Table001__Page_2_38[[#This Row],[ESTIMATED QUANTITY]]</f>
        <v>21200</v>
      </c>
    </row>
    <row r="29" spans="1:11" ht="15" customHeight="1" x14ac:dyDescent="0.35">
      <c r="A29" s="46">
        <v>16</v>
      </c>
      <c r="B29" s="16" t="s">
        <v>621</v>
      </c>
      <c r="C29" s="45" t="s">
        <v>622</v>
      </c>
      <c r="D29" s="16" t="s">
        <v>407</v>
      </c>
      <c r="E29" s="46">
        <v>60</v>
      </c>
      <c r="F29" s="57">
        <v>228</v>
      </c>
      <c r="G29" s="59">
        <v>13680</v>
      </c>
      <c r="H29" s="59">
        <v>280</v>
      </c>
      <c r="I29" s="59">
        <v>16800</v>
      </c>
      <c r="J29" s="59">
        <v>303</v>
      </c>
      <c r="K29" s="59">
        <f>Table001__Page_2_38[[#This Row],[UNIT COST  ]]*Table001__Page_2_38[[#This Row],[ESTIMATED QUANTITY]]</f>
        <v>18180</v>
      </c>
    </row>
    <row r="30" spans="1:11" ht="15" customHeight="1" x14ac:dyDescent="0.35">
      <c r="A30" s="46">
        <v>17</v>
      </c>
      <c r="B30" s="16" t="s">
        <v>623</v>
      </c>
      <c r="C30" s="45" t="s">
        <v>624</v>
      </c>
      <c r="D30" s="16" t="s">
        <v>407</v>
      </c>
      <c r="E30" s="46">
        <v>20</v>
      </c>
      <c r="F30" s="57">
        <v>495</v>
      </c>
      <c r="G30" s="59">
        <v>9900</v>
      </c>
      <c r="H30" s="59">
        <v>190</v>
      </c>
      <c r="I30" s="59">
        <v>3800</v>
      </c>
      <c r="J30" s="59">
        <v>269</v>
      </c>
      <c r="K30" s="59">
        <f>Table001__Page_2_38[[#This Row],[UNIT COST  ]]*Table001__Page_2_38[[#This Row],[ESTIMATED QUANTITY]]</f>
        <v>5380</v>
      </c>
    </row>
    <row r="31" spans="1:11" ht="15" customHeight="1" x14ac:dyDescent="0.35">
      <c r="A31" s="46">
        <v>18</v>
      </c>
      <c r="B31" s="16" t="s">
        <v>625</v>
      </c>
      <c r="C31" s="45" t="s">
        <v>626</v>
      </c>
      <c r="D31" s="16" t="s">
        <v>478</v>
      </c>
      <c r="E31" s="46">
        <v>1</v>
      </c>
      <c r="F31" s="56">
        <v>9890</v>
      </c>
      <c r="G31" s="59">
        <v>9890</v>
      </c>
      <c r="H31" s="59">
        <v>9400</v>
      </c>
      <c r="I31" s="59">
        <v>9400</v>
      </c>
      <c r="J31" s="59">
        <v>11080</v>
      </c>
      <c r="K31" s="59">
        <f>Table001__Page_2_38[[#This Row],[UNIT COST  ]]*Table001__Page_2_38[[#This Row],[ESTIMATED QUANTITY]]</f>
        <v>11080</v>
      </c>
    </row>
    <row r="32" spans="1:11" ht="15" customHeight="1" x14ac:dyDescent="0.35">
      <c r="A32" s="46">
        <v>19</v>
      </c>
      <c r="B32" s="16" t="s">
        <v>627</v>
      </c>
      <c r="C32" s="45" t="s">
        <v>628</v>
      </c>
      <c r="D32" s="16" t="s">
        <v>478</v>
      </c>
      <c r="E32" s="46">
        <v>1</v>
      </c>
      <c r="F32" s="56">
        <v>9890</v>
      </c>
      <c r="G32" s="59">
        <v>9890</v>
      </c>
      <c r="H32" s="59">
        <v>12200</v>
      </c>
      <c r="I32" s="59">
        <v>12200</v>
      </c>
      <c r="J32" s="59">
        <v>8380</v>
      </c>
      <c r="K32" s="59">
        <f>Table001__Page_2_38[[#This Row],[UNIT COST  ]]*Table001__Page_2_38[[#This Row],[ESTIMATED QUANTITY]]</f>
        <v>8380</v>
      </c>
    </row>
    <row r="33" spans="1:11" ht="15" customHeight="1" x14ac:dyDescent="0.35">
      <c r="A33" s="46">
        <v>20</v>
      </c>
      <c r="B33" s="16" t="s">
        <v>629</v>
      </c>
      <c r="C33" s="45" t="s">
        <v>630</v>
      </c>
      <c r="D33" s="16" t="s">
        <v>478</v>
      </c>
      <c r="E33" s="46">
        <v>1</v>
      </c>
      <c r="F33" s="56">
        <v>4255</v>
      </c>
      <c r="G33" s="59">
        <v>4255</v>
      </c>
      <c r="H33" s="59">
        <v>1400</v>
      </c>
      <c r="I33" s="59">
        <v>1400</v>
      </c>
      <c r="J33" s="59">
        <v>2800</v>
      </c>
      <c r="K33" s="59">
        <f>Table001__Page_2_38[[#This Row],[UNIT COST  ]]*Table001__Page_2_38[[#This Row],[ESTIMATED QUANTITY]]</f>
        <v>2800</v>
      </c>
    </row>
    <row r="34" spans="1:11" ht="15" customHeight="1" x14ac:dyDescent="0.35">
      <c r="A34" s="46">
        <v>21</v>
      </c>
      <c r="B34" s="16" t="s">
        <v>631</v>
      </c>
      <c r="C34" s="45" t="s">
        <v>632</v>
      </c>
      <c r="D34" s="16" t="s">
        <v>478</v>
      </c>
      <c r="E34" s="46">
        <v>1</v>
      </c>
      <c r="F34" s="56">
        <v>5175</v>
      </c>
      <c r="G34" s="59">
        <v>5175</v>
      </c>
      <c r="H34" s="59">
        <v>1700</v>
      </c>
      <c r="I34" s="59">
        <v>1700</v>
      </c>
      <c r="J34" s="59">
        <v>3000</v>
      </c>
      <c r="K34" s="59">
        <f>Table001__Page_2_38[[#This Row],[UNIT COST  ]]*Table001__Page_2_38[[#This Row],[ESTIMATED QUANTITY]]</f>
        <v>3000</v>
      </c>
    </row>
    <row r="35" spans="1:11" ht="15" customHeight="1" x14ac:dyDescent="0.35">
      <c r="A35" s="46">
        <v>22</v>
      </c>
      <c r="B35" s="16" t="s">
        <v>633</v>
      </c>
      <c r="C35" s="45" t="s">
        <v>634</v>
      </c>
      <c r="D35" s="16" t="s">
        <v>28</v>
      </c>
      <c r="E35" s="46">
        <v>1</v>
      </c>
      <c r="F35" s="56">
        <v>138000</v>
      </c>
      <c r="G35" s="59">
        <v>138000</v>
      </c>
      <c r="H35" s="59">
        <v>127000</v>
      </c>
      <c r="I35" s="59">
        <v>127000</v>
      </c>
      <c r="J35" s="59">
        <v>95540</v>
      </c>
      <c r="K35" s="59">
        <f>Table001__Page_2_38[[#This Row],[UNIT COST  ]]*Table001__Page_2_38[[#This Row],[ESTIMATED QUANTITY]]</f>
        <v>95540</v>
      </c>
    </row>
    <row r="36" spans="1:11" ht="15" customHeight="1" x14ac:dyDescent="0.35">
      <c r="A36" s="46">
        <v>23</v>
      </c>
      <c r="B36" s="16" t="s">
        <v>635</v>
      </c>
      <c r="C36" s="45" t="s">
        <v>636</v>
      </c>
      <c r="D36" s="16" t="s">
        <v>407</v>
      </c>
      <c r="E36" s="46">
        <v>450</v>
      </c>
      <c r="F36" s="57">
        <v>58</v>
      </c>
      <c r="G36" s="59">
        <v>26100</v>
      </c>
      <c r="H36" s="59">
        <v>55</v>
      </c>
      <c r="I36" s="59">
        <v>24750</v>
      </c>
      <c r="J36" s="59">
        <v>32.5</v>
      </c>
      <c r="K36" s="59">
        <f>Table001__Page_2_38[[#This Row],[UNIT COST  ]]*Table001__Page_2_38[[#This Row],[ESTIMATED QUANTITY]]</f>
        <v>14625</v>
      </c>
    </row>
    <row r="37" spans="1:11" ht="15" customHeight="1" x14ac:dyDescent="0.35">
      <c r="A37" s="46">
        <v>24</v>
      </c>
      <c r="B37" s="16" t="s">
        <v>637</v>
      </c>
      <c r="C37" s="45" t="s">
        <v>638</v>
      </c>
      <c r="D37" s="16" t="s">
        <v>478</v>
      </c>
      <c r="E37" s="46">
        <v>19</v>
      </c>
      <c r="F37" s="57">
        <v>460</v>
      </c>
      <c r="G37" s="59">
        <v>8740</v>
      </c>
      <c r="H37" s="59">
        <v>233</v>
      </c>
      <c r="I37" s="59">
        <v>4427</v>
      </c>
      <c r="J37" s="59">
        <v>130</v>
      </c>
      <c r="K37" s="59">
        <f>Table001__Page_2_38[[#This Row],[UNIT COST  ]]*Table001__Page_2_38[[#This Row],[ESTIMATED QUANTITY]]</f>
        <v>2470</v>
      </c>
    </row>
    <row r="38" spans="1:11" ht="15" customHeight="1" x14ac:dyDescent="0.35">
      <c r="A38" s="46">
        <v>25</v>
      </c>
      <c r="B38" s="16" t="s">
        <v>639</v>
      </c>
      <c r="C38" s="45" t="s">
        <v>640</v>
      </c>
      <c r="D38" s="16" t="s">
        <v>407</v>
      </c>
      <c r="E38" s="46">
        <v>240</v>
      </c>
      <c r="F38" s="57">
        <v>75</v>
      </c>
      <c r="G38" s="59">
        <v>18000</v>
      </c>
      <c r="H38" s="59">
        <v>225</v>
      </c>
      <c r="I38" s="59">
        <v>54000</v>
      </c>
      <c r="J38" s="59">
        <v>50.5</v>
      </c>
      <c r="K38" s="59">
        <f>Table001__Page_2_38[[#This Row],[UNIT COST  ]]*Table001__Page_2_38[[#This Row],[ESTIMATED QUANTITY]]</f>
        <v>12120</v>
      </c>
    </row>
    <row r="39" spans="1:11" ht="15" customHeight="1" x14ac:dyDescent="0.35">
      <c r="A39" s="46">
        <v>26</v>
      </c>
      <c r="B39" s="16" t="s">
        <v>641</v>
      </c>
      <c r="C39" s="45" t="s">
        <v>642</v>
      </c>
      <c r="D39" s="16" t="s">
        <v>407</v>
      </c>
      <c r="E39" s="46">
        <v>165</v>
      </c>
      <c r="F39" s="57">
        <v>167</v>
      </c>
      <c r="G39" s="59">
        <v>27555</v>
      </c>
      <c r="H39" s="59">
        <v>190</v>
      </c>
      <c r="I39" s="59">
        <v>31350</v>
      </c>
      <c r="J39" s="59">
        <v>153</v>
      </c>
      <c r="K39" s="59">
        <f>Table001__Page_2_38[[#This Row],[UNIT COST  ]]*Table001__Page_2_38[[#This Row],[ESTIMATED QUANTITY]]</f>
        <v>25245</v>
      </c>
    </row>
    <row r="40" spans="1:11" ht="14.5" customHeight="1" x14ac:dyDescent="0.35">
      <c r="A40" s="46">
        <v>27</v>
      </c>
      <c r="B40" s="16" t="s">
        <v>643</v>
      </c>
      <c r="C40" s="45" t="s">
        <v>644</v>
      </c>
      <c r="D40" s="16" t="s">
        <v>428</v>
      </c>
      <c r="E40" s="46">
        <v>608</v>
      </c>
      <c r="F40" s="57">
        <v>69</v>
      </c>
      <c r="G40" s="59">
        <v>41952</v>
      </c>
      <c r="H40" s="59">
        <v>113</v>
      </c>
      <c r="I40" s="59">
        <v>68704</v>
      </c>
      <c r="J40" s="59">
        <v>123</v>
      </c>
      <c r="K40" s="59">
        <f>Table001__Page_2_38[[#This Row],[UNIT COST  ]]*Table001__Page_2_38[[#This Row],[ESTIMATED QUANTITY]]</f>
        <v>74784</v>
      </c>
    </row>
    <row r="41" spans="1:11" ht="14.5" customHeight="1" x14ac:dyDescent="0.35">
      <c r="A41" s="46">
        <v>28</v>
      </c>
      <c r="B41" s="16" t="s">
        <v>645</v>
      </c>
      <c r="C41" s="45" t="s">
        <v>646</v>
      </c>
      <c r="D41" s="16" t="s">
        <v>28</v>
      </c>
      <c r="E41" s="46">
        <v>1</v>
      </c>
      <c r="F41" s="56">
        <v>23000</v>
      </c>
      <c r="G41" s="59">
        <v>23000</v>
      </c>
      <c r="H41" s="59">
        <v>15500</v>
      </c>
      <c r="I41" s="59">
        <v>15500</v>
      </c>
      <c r="J41" s="59">
        <v>21330</v>
      </c>
      <c r="K41" s="59">
        <f>Table001__Page_2_38[[#This Row],[UNIT COST  ]]*Table001__Page_2_38[[#This Row],[ESTIMATED QUANTITY]]</f>
        <v>21330</v>
      </c>
    </row>
    <row r="42" spans="1:11" ht="15" customHeight="1" x14ac:dyDescent="0.35">
      <c r="A42" s="46">
        <v>29</v>
      </c>
      <c r="B42" s="16" t="s">
        <v>647</v>
      </c>
      <c r="C42" s="45" t="s">
        <v>648</v>
      </c>
      <c r="D42" s="16" t="s">
        <v>478</v>
      </c>
      <c r="E42" s="46">
        <v>5</v>
      </c>
      <c r="F42" s="57">
        <v>575</v>
      </c>
      <c r="G42" s="59">
        <v>2875</v>
      </c>
      <c r="H42" s="59">
        <v>293</v>
      </c>
      <c r="I42" s="59">
        <v>1465</v>
      </c>
      <c r="J42" s="59">
        <v>259</v>
      </c>
      <c r="K42" s="59">
        <f>Table001__Page_2_38[[#This Row],[UNIT COST  ]]*Table001__Page_2_38[[#This Row],[ESTIMATED QUANTITY]]</f>
        <v>1295</v>
      </c>
    </row>
    <row r="43" spans="1:11" ht="15" customHeight="1" x14ac:dyDescent="0.35">
      <c r="A43" s="46">
        <v>30</v>
      </c>
      <c r="B43" s="16" t="s">
        <v>649</v>
      </c>
      <c r="C43" s="45" t="s">
        <v>650</v>
      </c>
      <c r="D43" s="16" t="s">
        <v>478</v>
      </c>
      <c r="E43" s="46">
        <v>3</v>
      </c>
      <c r="F43" s="57">
        <v>230</v>
      </c>
      <c r="G43" s="59">
        <v>690</v>
      </c>
      <c r="H43" s="59">
        <v>147</v>
      </c>
      <c r="I43" s="59">
        <v>441</v>
      </c>
      <c r="J43" s="59">
        <v>363</v>
      </c>
      <c r="K43" s="59">
        <f>Table001__Page_2_38[[#This Row],[UNIT COST  ]]*Table001__Page_2_38[[#This Row],[ESTIMATED QUANTITY]]</f>
        <v>1089</v>
      </c>
    </row>
    <row r="44" spans="1:11" ht="15" customHeight="1" x14ac:dyDescent="0.35">
      <c r="A44" s="46">
        <v>31</v>
      </c>
      <c r="B44" s="16" t="s">
        <v>651</v>
      </c>
      <c r="C44" s="45" t="s">
        <v>652</v>
      </c>
      <c r="D44" s="16" t="s">
        <v>407</v>
      </c>
      <c r="E44" s="46">
        <v>260</v>
      </c>
      <c r="F44" s="57">
        <v>121</v>
      </c>
      <c r="G44" s="59">
        <v>31460</v>
      </c>
      <c r="H44" s="59">
        <v>90</v>
      </c>
      <c r="I44" s="59">
        <v>23400</v>
      </c>
      <c r="J44" s="59">
        <v>79.56</v>
      </c>
      <c r="K44" s="59">
        <f>Table001__Page_2_38[[#This Row],[UNIT COST  ]]*Table001__Page_2_38[[#This Row],[ESTIMATED QUANTITY]]</f>
        <v>20685.600000000002</v>
      </c>
    </row>
    <row r="45" spans="1:11" ht="15" customHeight="1" x14ac:dyDescent="0.35">
      <c r="A45" s="46">
        <v>32</v>
      </c>
      <c r="B45" s="16" t="s">
        <v>653</v>
      </c>
      <c r="C45" s="45" t="s">
        <v>654</v>
      </c>
      <c r="D45" s="16" t="s">
        <v>478</v>
      </c>
      <c r="E45" s="46">
        <v>2</v>
      </c>
      <c r="F45" s="56">
        <v>13800</v>
      </c>
      <c r="G45" s="59">
        <v>27600</v>
      </c>
      <c r="H45" s="59">
        <v>11700</v>
      </c>
      <c r="I45" s="59">
        <v>23400</v>
      </c>
      <c r="J45" s="59">
        <v>10350</v>
      </c>
      <c r="K45" s="59">
        <f>Table001__Page_2_38[[#This Row],[UNIT COST  ]]*Table001__Page_2_38[[#This Row],[ESTIMATED QUANTITY]]</f>
        <v>20700</v>
      </c>
    </row>
    <row r="46" spans="1:11" ht="15" customHeight="1" x14ac:dyDescent="0.35">
      <c r="A46" s="46">
        <v>33</v>
      </c>
      <c r="B46" s="16" t="s">
        <v>655</v>
      </c>
      <c r="C46" s="45" t="s">
        <v>656</v>
      </c>
      <c r="D46" s="16" t="s">
        <v>478</v>
      </c>
      <c r="E46" s="46">
        <v>2</v>
      </c>
      <c r="F46" s="56">
        <v>11500</v>
      </c>
      <c r="G46" s="59">
        <v>23000</v>
      </c>
      <c r="H46" s="59">
        <v>4100</v>
      </c>
      <c r="I46" s="59">
        <v>8200</v>
      </c>
      <c r="J46" s="59">
        <v>3630</v>
      </c>
      <c r="K46" s="59">
        <f>Table001__Page_2_38[[#This Row],[UNIT COST  ]]*Table001__Page_2_38[[#This Row],[ESTIMATED QUANTITY]]</f>
        <v>7260</v>
      </c>
    </row>
    <row r="47" spans="1:11" ht="15" customHeight="1" x14ac:dyDescent="0.35">
      <c r="A47" s="46">
        <v>34</v>
      </c>
      <c r="B47" s="16" t="s">
        <v>657</v>
      </c>
      <c r="C47" s="45" t="s">
        <v>658</v>
      </c>
      <c r="D47" s="16" t="s">
        <v>478</v>
      </c>
      <c r="E47" s="46">
        <v>1</v>
      </c>
      <c r="F47" s="57">
        <v>575</v>
      </c>
      <c r="G47" s="59">
        <v>575</v>
      </c>
      <c r="H47" s="59">
        <v>366</v>
      </c>
      <c r="I47" s="59">
        <v>366</v>
      </c>
      <c r="J47" s="59">
        <v>777</v>
      </c>
      <c r="K47" s="59">
        <f>Table001__Page_2_38[[#This Row],[UNIT COST  ]]*Table001__Page_2_38[[#This Row],[ESTIMATED QUANTITY]]</f>
        <v>777</v>
      </c>
    </row>
    <row r="48" spans="1:11" ht="15" customHeight="1" x14ac:dyDescent="0.35">
      <c r="A48" s="46">
        <v>35</v>
      </c>
      <c r="B48" s="16" t="s">
        <v>659</v>
      </c>
      <c r="C48" s="45" t="s">
        <v>660</v>
      </c>
      <c r="D48" s="16" t="s">
        <v>407</v>
      </c>
      <c r="E48" s="46">
        <v>420</v>
      </c>
      <c r="F48" s="57">
        <v>2</v>
      </c>
      <c r="G48" s="59">
        <v>840</v>
      </c>
      <c r="H48" s="59">
        <v>1</v>
      </c>
      <c r="I48" s="59">
        <v>420</v>
      </c>
      <c r="J48" s="59">
        <v>0.65</v>
      </c>
      <c r="K48" s="59">
        <f>Table001__Page_2_38[[#This Row],[UNIT COST  ]]*Table001__Page_2_38[[#This Row],[ESTIMATED QUANTITY]]</f>
        <v>273</v>
      </c>
    </row>
    <row r="49" spans="1:11" ht="15" customHeight="1" x14ac:dyDescent="0.35">
      <c r="A49" s="46">
        <v>36</v>
      </c>
      <c r="B49" s="16" t="s">
        <v>661</v>
      </c>
      <c r="C49" s="45" t="s">
        <v>662</v>
      </c>
      <c r="D49" s="16" t="s">
        <v>478</v>
      </c>
      <c r="E49" s="46">
        <v>3</v>
      </c>
      <c r="F49" s="57">
        <v>575</v>
      </c>
      <c r="G49" s="59">
        <v>1725</v>
      </c>
      <c r="H49" s="59">
        <v>125</v>
      </c>
      <c r="I49" s="59">
        <v>375</v>
      </c>
      <c r="J49" s="59">
        <v>155</v>
      </c>
      <c r="K49" s="59">
        <f>Table001__Page_2_38[[#This Row],[UNIT COST  ]]*Table001__Page_2_38[[#This Row],[ESTIMATED QUANTITY]]</f>
        <v>465</v>
      </c>
    </row>
    <row r="50" spans="1:11" ht="15" customHeight="1" x14ac:dyDescent="0.35">
      <c r="A50" s="46">
        <v>37</v>
      </c>
      <c r="B50" s="16" t="s">
        <v>663</v>
      </c>
      <c r="C50" s="45" t="s">
        <v>664</v>
      </c>
      <c r="D50" s="16" t="s">
        <v>478</v>
      </c>
      <c r="E50" s="46">
        <v>3</v>
      </c>
      <c r="F50" s="57">
        <v>288</v>
      </c>
      <c r="G50" s="59">
        <v>864</v>
      </c>
      <c r="H50" s="59">
        <v>73</v>
      </c>
      <c r="I50" s="59">
        <v>219</v>
      </c>
      <c r="J50" s="59">
        <v>130</v>
      </c>
      <c r="K50" s="59">
        <f>Table001__Page_2_38[[#This Row],[UNIT COST  ]]*Table001__Page_2_38[[#This Row],[ESTIMATED QUANTITY]]</f>
        <v>390</v>
      </c>
    </row>
    <row r="51" spans="1:11" ht="15" customHeight="1" x14ac:dyDescent="0.35">
      <c r="A51" s="46">
        <v>38</v>
      </c>
      <c r="B51" s="16" t="s">
        <v>665</v>
      </c>
      <c r="C51" s="45" t="s">
        <v>666</v>
      </c>
      <c r="D51" s="16" t="s">
        <v>412</v>
      </c>
      <c r="E51" s="46">
        <v>40</v>
      </c>
      <c r="F51" s="57">
        <v>35</v>
      </c>
      <c r="G51" s="59">
        <v>1400</v>
      </c>
      <c r="H51" s="59">
        <v>19</v>
      </c>
      <c r="I51" s="59">
        <v>760</v>
      </c>
      <c r="J51" s="59">
        <v>16.2</v>
      </c>
      <c r="K51" s="59">
        <f>Table001__Page_2_38[[#This Row],[UNIT COST  ]]*Table001__Page_2_38[[#This Row],[ESTIMATED QUANTITY]]</f>
        <v>648</v>
      </c>
    </row>
    <row r="52" spans="1:11" ht="15" customHeight="1" x14ac:dyDescent="0.35">
      <c r="A52" s="46">
        <v>39</v>
      </c>
      <c r="B52" s="16" t="s">
        <v>667</v>
      </c>
      <c r="C52" s="45" t="s">
        <v>668</v>
      </c>
      <c r="D52" s="16" t="s">
        <v>478</v>
      </c>
      <c r="E52" s="46">
        <v>6</v>
      </c>
      <c r="F52" s="57">
        <v>138</v>
      </c>
      <c r="G52" s="59">
        <v>828</v>
      </c>
      <c r="H52" s="59">
        <v>270</v>
      </c>
      <c r="I52" s="59">
        <v>1620</v>
      </c>
      <c r="J52" s="59">
        <v>240</v>
      </c>
      <c r="K52" s="59">
        <f>Table001__Page_2_38[[#This Row],[UNIT COST  ]]*Table001__Page_2_38[[#This Row],[ESTIMATED QUANTITY]]</f>
        <v>1440</v>
      </c>
    </row>
    <row r="53" spans="1:11" ht="15.75" customHeight="1" thickBot="1" x14ac:dyDescent="0.4">
      <c r="A53" s="46">
        <v>40</v>
      </c>
      <c r="B53" s="16" t="s">
        <v>669</v>
      </c>
      <c r="C53" s="45" t="s">
        <v>670</v>
      </c>
      <c r="D53" s="16" t="s">
        <v>412</v>
      </c>
      <c r="E53" s="46">
        <v>60</v>
      </c>
      <c r="F53" s="57">
        <v>69</v>
      </c>
      <c r="G53" s="59">
        <v>4140</v>
      </c>
      <c r="H53" s="59">
        <v>155</v>
      </c>
      <c r="I53" s="59">
        <v>9300</v>
      </c>
      <c r="J53" s="59">
        <v>27.8</v>
      </c>
      <c r="K53" s="59">
        <f>Table001__Page_2_38[[#This Row],[UNIT COST  ]]*Table001__Page_2_38[[#This Row],[ESTIMATED QUANTITY]]</f>
        <v>1668</v>
      </c>
    </row>
    <row r="54" spans="1:11" ht="16" thickBot="1" x14ac:dyDescent="0.4">
      <c r="A54" s="21"/>
      <c r="B54" s="29"/>
      <c r="C54" s="21"/>
      <c r="D54" s="178" t="s">
        <v>671</v>
      </c>
      <c r="E54" s="179"/>
      <c r="F54" s="17"/>
      <c r="G54" s="17">
        <f>SUM(G14:G53)</f>
        <v>879485</v>
      </c>
      <c r="H54" s="17"/>
      <c r="I54" s="17">
        <f>SUM(I14:I53)</f>
        <v>873604</v>
      </c>
      <c r="J54" s="17"/>
      <c r="K54" s="18">
        <f>SUM(K14:K53)</f>
        <v>687534.96</v>
      </c>
    </row>
    <row r="55" spans="1:11" x14ac:dyDescent="0.35">
      <c r="A55" s="14"/>
      <c r="B55" s="29"/>
      <c r="C55" s="14"/>
      <c r="D55" s="14"/>
      <c r="E55" s="16"/>
      <c r="F55" s="14"/>
      <c r="G55" s="14"/>
      <c r="H55" s="14"/>
      <c r="I55" s="14"/>
      <c r="J55" s="14"/>
      <c r="K55" s="14"/>
    </row>
    <row r="56" spans="1:11" x14ac:dyDescent="0.35">
      <c r="A56" s="14"/>
      <c r="B56" s="29"/>
      <c r="C56" s="14"/>
      <c r="D56" s="188" t="s">
        <v>456</v>
      </c>
      <c r="E56" s="189"/>
      <c r="F56" s="36"/>
      <c r="G56" s="161" t="s">
        <v>457</v>
      </c>
      <c r="H56" s="39"/>
      <c r="I56" s="38">
        <f>I54-G54</f>
        <v>-5881</v>
      </c>
      <c r="J56" s="39"/>
      <c r="K56" s="40">
        <f>K54-G54</f>
        <v>-191950.04000000004</v>
      </c>
    </row>
    <row r="58" spans="1:11" x14ac:dyDescent="0.35">
      <c r="A58" s="104"/>
      <c r="E58" s="190" t="s">
        <v>458</v>
      </c>
      <c r="F58" s="191"/>
      <c r="G58" s="37"/>
      <c r="H58" s="41"/>
      <c r="I58" s="102">
        <f>I56/G54</f>
        <v>-6.6868678829087478E-3</v>
      </c>
      <c r="J58" s="41"/>
      <c r="K58" s="103">
        <f>K56/G54</f>
        <v>-0.21825277292961226</v>
      </c>
    </row>
    <row r="59" spans="1:11" x14ac:dyDescent="0.35">
      <c r="A59" s="104"/>
    </row>
    <row r="60" spans="1:11" ht="15" thickBot="1" x14ac:dyDescent="0.4"/>
    <row r="61" spans="1:11" ht="16" thickBot="1" x14ac:dyDescent="0.4">
      <c r="A61" s="173" t="s">
        <v>1308</v>
      </c>
      <c r="B61" s="174"/>
      <c r="C61" s="174"/>
      <c r="D61" s="174"/>
      <c r="E61" s="175"/>
      <c r="F61" s="173" t="s">
        <v>12</v>
      </c>
      <c r="G61" s="175"/>
      <c r="H61" s="173" t="s">
        <v>592</v>
      </c>
      <c r="I61" s="175"/>
      <c r="J61" s="173" t="s">
        <v>593</v>
      </c>
      <c r="K61" s="175"/>
    </row>
    <row r="62" spans="1:11" x14ac:dyDescent="0.35">
      <c r="A62" s="23" t="s">
        <v>15</v>
      </c>
      <c r="B62" s="23" t="s">
        <v>396</v>
      </c>
      <c r="C62" s="23" t="s">
        <v>17</v>
      </c>
      <c r="D62" s="23" t="s">
        <v>18</v>
      </c>
      <c r="E62" s="23" t="s">
        <v>19</v>
      </c>
      <c r="F62" s="23" t="s">
        <v>20</v>
      </c>
      <c r="G62" s="23" t="s">
        <v>21</v>
      </c>
      <c r="H62" s="23" t="s">
        <v>397</v>
      </c>
      <c r="I62" s="23" t="s">
        <v>398</v>
      </c>
      <c r="J62" s="23" t="s">
        <v>399</v>
      </c>
      <c r="K62" s="23" t="s">
        <v>400</v>
      </c>
    </row>
    <row r="63" spans="1:11" ht="15" customHeight="1" x14ac:dyDescent="0.35">
      <c r="A63" s="46">
        <v>1</v>
      </c>
      <c r="B63" s="16" t="s">
        <v>594</v>
      </c>
      <c r="C63" s="45" t="s">
        <v>595</v>
      </c>
      <c r="D63" s="16" t="s">
        <v>28</v>
      </c>
      <c r="E63" s="46">
        <v>1</v>
      </c>
      <c r="F63" s="59">
        <v>32200</v>
      </c>
      <c r="G63" s="59">
        <v>32200</v>
      </c>
      <c r="H63" s="59">
        <v>26400</v>
      </c>
      <c r="I63" s="59">
        <v>26400</v>
      </c>
      <c r="J63" s="59">
        <v>35600</v>
      </c>
      <c r="K63" s="59">
        <v>35600</v>
      </c>
    </row>
    <row r="64" spans="1:11" x14ac:dyDescent="0.35">
      <c r="A64" s="46">
        <v>2</v>
      </c>
      <c r="B64" s="16" t="s">
        <v>476</v>
      </c>
      <c r="C64" s="45" t="s">
        <v>596</v>
      </c>
      <c r="D64" s="16" t="s">
        <v>478</v>
      </c>
      <c r="E64" s="46">
        <v>5</v>
      </c>
      <c r="F64" s="59">
        <v>1150</v>
      </c>
      <c r="G64" s="59">
        <v>5750</v>
      </c>
      <c r="H64" s="59">
        <v>4450</v>
      </c>
      <c r="I64" s="59">
        <v>22250</v>
      </c>
      <c r="J64" s="59">
        <v>850</v>
      </c>
      <c r="K64" s="59">
        <v>4250</v>
      </c>
    </row>
    <row r="65" spans="1:11" ht="15" customHeight="1" x14ac:dyDescent="0.35">
      <c r="A65" s="46">
        <v>3</v>
      </c>
      <c r="B65" s="16" t="s">
        <v>479</v>
      </c>
      <c r="C65" s="45" t="s">
        <v>597</v>
      </c>
      <c r="D65" s="16" t="s">
        <v>478</v>
      </c>
      <c r="E65" s="46">
        <v>2</v>
      </c>
      <c r="F65" s="59">
        <v>1725</v>
      </c>
      <c r="G65" s="59">
        <v>3450</v>
      </c>
      <c r="H65" s="59">
        <v>1480</v>
      </c>
      <c r="I65" s="59">
        <v>2960</v>
      </c>
      <c r="J65" s="59">
        <v>945</v>
      </c>
      <c r="K65" s="59">
        <v>1890</v>
      </c>
    </row>
    <row r="66" spans="1:11" ht="15" customHeight="1" x14ac:dyDescent="0.35">
      <c r="A66" s="46">
        <v>4</v>
      </c>
      <c r="B66" s="16" t="s">
        <v>26</v>
      </c>
      <c r="C66" s="45" t="s">
        <v>598</v>
      </c>
      <c r="D66" s="16" t="s">
        <v>28</v>
      </c>
      <c r="E66" s="46">
        <v>1</v>
      </c>
      <c r="F66" s="59">
        <v>127535</v>
      </c>
      <c r="G66" s="59">
        <v>127535</v>
      </c>
      <c r="H66" s="59">
        <v>81600</v>
      </c>
      <c r="I66" s="59">
        <v>81600</v>
      </c>
      <c r="J66" s="59">
        <v>76105</v>
      </c>
      <c r="K66" s="59">
        <v>76105</v>
      </c>
    </row>
    <row r="67" spans="1:11" x14ac:dyDescent="0.35">
      <c r="A67" s="46">
        <v>5</v>
      </c>
      <c r="B67" s="16" t="s">
        <v>599</v>
      </c>
      <c r="C67" s="45" t="s">
        <v>600</v>
      </c>
      <c r="D67" s="16" t="s">
        <v>28</v>
      </c>
      <c r="E67" s="46">
        <v>1</v>
      </c>
      <c r="F67" s="59">
        <v>31625</v>
      </c>
      <c r="G67" s="59">
        <v>31625</v>
      </c>
      <c r="H67" s="59">
        <v>5000</v>
      </c>
      <c r="I67" s="59">
        <v>5000</v>
      </c>
      <c r="J67" s="59">
        <v>16030</v>
      </c>
      <c r="K67" s="59">
        <v>16030</v>
      </c>
    </row>
    <row r="68" spans="1:11" ht="15" customHeight="1" x14ac:dyDescent="0.35">
      <c r="A68" s="46">
        <v>6</v>
      </c>
      <c r="B68" s="16" t="s">
        <v>601</v>
      </c>
      <c r="C68" s="45" t="s">
        <v>602</v>
      </c>
      <c r="D68" s="16" t="s">
        <v>28</v>
      </c>
      <c r="E68" s="46">
        <v>1</v>
      </c>
      <c r="F68" s="59">
        <v>28750</v>
      </c>
      <c r="G68" s="59">
        <v>28750</v>
      </c>
      <c r="H68" s="59">
        <v>17200</v>
      </c>
      <c r="I68" s="59">
        <v>17200</v>
      </c>
      <c r="J68" s="59">
        <v>20030</v>
      </c>
      <c r="K68" s="59">
        <v>20030</v>
      </c>
    </row>
    <row r="69" spans="1:11" ht="15" customHeight="1" x14ac:dyDescent="0.35">
      <c r="A69" s="46">
        <v>7</v>
      </c>
      <c r="B69" s="16" t="s">
        <v>603</v>
      </c>
      <c r="C69" s="45" t="s">
        <v>604</v>
      </c>
      <c r="D69" s="16" t="s">
        <v>28</v>
      </c>
      <c r="E69" s="46">
        <v>1</v>
      </c>
      <c r="F69" s="59">
        <v>9775</v>
      </c>
      <c r="G69" s="59">
        <v>9775</v>
      </c>
      <c r="H69" s="59">
        <v>9000</v>
      </c>
      <c r="I69" s="59">
        <v>9000</v>
      </c>
      <c r="J69" s="59">
        <v>22840</v>
      </c>
      <c r="K69" s="59">
        <v>22840</v>
      </c>
    </row>
    <row r="70" spans="1:11" ht="15" customHeight="1" x14ac:dyDescent="0.35">
      <c r="A70" s="46">
        <v>8</v>
      </c>
      <c r="B70" s="16" t="s">
        <v>605</v>
      </c>
      <c r="C70" s="45" t="s">
        <v>606</v>
      </c>
      <c r="D70" s="16" t="s">
        <v>412</v>
      </c>
      <c r="E70" s="48">
        <v>1379</v>
      </c>
      <c r="F70" s="59">
        <v>17</v>
      </c>
      <c r="G70" s="59">
        <v>23443</v>
      </c>
      <c r="H70" s="59">
        <v>24</v>
      </c>
      <c r="I70" s="59">
        <v>33096</v>
      </c>
      <c r="J70" s="59">
        <v>15.1</v>
      </c>
      <c r="K70" s="59">
        <v>20822.900000000001</v>
      </c>
    </row>
    <row r="71" spans="1:11" ht="15" customHeight="1" x14ac:dyDescent="0.35">
      <c r="A71" s="46">
        <v>9</v>
      </c>
      <c r="B71" s="16" t="s">
        <v>607</v>
      </c>
      <c r="C71" s="45" t="s">
        <v>608</v>
      </c>
      <c r="D71" s="16" t="s">
        <v>428</v>
      </c>
      <c r="E71" s="48">
        <v>2301</v>
      </c>
      <c r="F71" s="59">
        <v>69</v>
      </c>
      <c r="G71" s="59">
        <v>158769</v>
      </c>
      <c r="H71" s="59">
        <v>77</v>
      </c>
      <c r="I71" s="59">
        <v>177177</v>
      </c>
      <c r="J71" s="59">
        <v>77.349999999999994</v>
      </c>
      <c r="K71" s="59">
        <v>177982.35</v>
      </c>
    </row>
    <row r="72" spans="1:11" ht="15" customHeight="1" x14ac:dyDescent="0.35">
      <c r="A72" s="46">
        <v>10</v>
      </c>
      <c r="B72" s="16" t="s">
        <v>672</v>
      </c>
      <c r="C72" s="45" t="s">
        <v>673</v>
      </c>
      <c r="D72" s="16" t="s">
        <v>428</v>
      </c>
      <c r="E72" s="46">
        <v>200</v>
      </c>
      <c r="F72" s="59">
        <v>92</v>
      </c>
      <c r="G72" s="59">
        <v>18400</v>
      </c>
      <c r="H72" s="59">
        <v>166</v>
      </c>
      <c r="I72" s="59">
        <v>33200</v>
      </c>
      <c r="J72" s="59">
        <v>157</v>
      </c>
      <c r="K72" s="59">
        <v>31400</v>
      </c>
    </row>
    <row r="73" spans="1:11" ht="15" customHeight="1" x14ac:dyDescent="0.35">
      <c r="A73" s="46">
        <v>11</v>
      </c>
      <c r="B73" s="16" t="s">
        <v>609</v>
      </c>
      <c r="C73" s="45" t="s">
        <v>610</v>
      </c>
      <c r="D73" s="16" t="s">
        <v>407</v>
      </c>
      <c r="E73" s="46">
        <v>347</v>
      </c>
      <c r="F73" s="59">
        <v>35</v>
      </c>
      <c r="G73" s="59">
        <v>12145</v>
      </c>
      <c r="H73" s="59">
        <v>32</v>
      </c>
      <c r="I73" s="59">
        <v>11104</v>
      </c>
      <c r="J73" s="59">
        <v>11</v>
      </c>
      <c r="K73" s="59">
        <v>3817</v>
      </c>
    </row>
    <row r="74" spans="1:11" ht="15" customHeight="1" x14ac:dyDescent="0.35">
      <c r="A74" s="46">
        <v>12</v>
      </c>
      <c r="B74" s="16" t="s">
        <v>674</v>
      </c>
      <c r="C74" s="45" t="s">
        <v>675</v>
      </c>
      <c r="D74" s="16" t="s">
        <v>545</v>
      </c>
      <c r="E74" s="48">
        <v>4081</v>
      </c>
      <c r="F74" s="59">
        <v>69</v>
      </c>
      <c r="G74" s="59">
        <v>281589</v>
      </c>
      <c r="H74" s="59">
        <v>65</v>
      </c>
      <c r="I74" s="59">
        <v>265265</v>
      </c>
      <c r="J74" s="59">
        <v>147</v>
      </c>
      <c r="K74" s="59">
        <v>599907</v>
      </c>
    </row>
    <row r="75" spans="1:11" ht="15" customHeight="1" x14ac:dyDescent="0.35">
      <c r="A75" s="46">
        <v>13</v>
      </c>
      <c r="B75" s="16" t="s">
        <v>611</v>
      </c>
      <c r="C75" s="45" t="s">
        <v>612</v>
      </c>
      <c r="D75" s="16" t="s">
        <v>435</v>
      </c>
      <c r="E75" s="46">
        <v>700</v>
      </c>
      <c r="F75" s="59">
        <v>58</v>
      </c>
      <c r="G75" s="59">
        <v>40600</v>
      </c>
      <c r="H75" s="59">
        <v>66</v>
      </c>
      <c r="I75" s="59">
        <v>46200</v>
      </c>
      <c r="J75" s="59">
        <v>59</v>
      </c>
      <c r="K75" s="59">
        <v>41300</v>
      </c>
    </row>
    <row r="76" spans="1:11" ht="15" customHeight="1" x14ac:dyDescent="0.35">
      <c r="A76" s="46">
        <v>14</v>
      </c>
      <c r="B76" s="16" t="s">
        <v>613</v>
      </c>
      <c r="C76" s="45" t="s">
        <v>614</v>
      </c>
      <c r="D76" s="16" t="s">
        <v>435</v>
      </c>
      <c r="E76" s="46">
        <v>180</v>
      </c>
      <c r="F76" s="59">
        <v>224</v>
      </c>
      <c r="G76" s="59">
        <v>40320</v>
      </c>
      <c r="H76" s="59">
        <v>190</v>
      </c>
      <c r="I76" s="59">
        <v>34200</v>
      </c>
      <c r="J76" s="59">
        <v>155</v>
      </c>
      <c r="K76" s="59">
        <v>27900</v>
      </c>
    </row>
    <row r="77" spans="1:11" ht="15" customHeight="1" x14ac:dyDescent="0.35">
      <c r="A77" s="46">
        <v>15</v>
      </c>
      <c r="B77" s="16" t="s">
        <v>615</v>
      </c>
      <c r="C77" s="45" t="s">
        <v>616</v>
      </c>
      <c r="D77" s="16" t="s">
        <v>446</v>
      </c>
      <c r="E77" s="46">
        <v>460</v>
      </c>
      <c r="F77" s="59">
        <v>7</v>
      </c>
      <c r="G77" s="59">
        <v>3220</v>
      </c>
      <c r="H77" s="59">
        <v>6</v>
      </c>
      <c r="I77" s="59">
        <v>2760</v>
      </c>
      <c r="J77" s="59">
        <v>8</v>
      </c>
      <c r="K77" s="59">
        <v>3680</v>
      </c>
    </row>
    <row r="78" spans="1:11" ht="15" customHeight="1" x14ac:dyDescent="0.35">
      <c r="A78" s="46">
        <v>16</v>
      </c>
      <c r="B78" s="16" t="s">
        <v>617</v>
      </c>
      <c r="C78" s="45" t="s">
        <v>618</v>
      </c>
      <c r="D78" s="16" t="s">
        <v>446</v>
      </c>
      <c r="E78" s="46">
        <v>190</v>
      </c>
      <c r="F78" s="59">
        <v>7</v>
      </c>
      <c r="G78" s="59">
        <v>1330</v>
      </c>
      <c r="H78" s="59">
        <v>6</v>
      </c>
      <c r="I78" s="59">
        <v>1140</v>
      </c>
      <c r="J78" s="59">
        <v>12</v>
      </c>
      <c r="K78" s="59">
        <v>2280</v>
      </c>
    </row>
    <row r="79" spans="1:11" ht="15" customHeight="1" x14ac:dyDescent="0.35">
      <c r="A79" s="46">
        <v>17</v>
      </c>
      <c r="B79" s="16" t="s">
        <v>619</v>
      </c>
      <c r="C79" s="45" t="s">
        <v>620</v>
      </c>
      <c r="D79" s="16" t="s">
        <v>435</v>
      </c>
      <c r="E79" s="46">
        <v>140</v>
      </c>
      <c r="F79" s="59">
        <v>247</v>
      </c>
      <c r="G79" s="59">
        <v>34580</v>
      </c>
      <c r="H79" s="59">
        <v>236</v>
      </c>
      <c r="I79" s="59">
        <v>33040</v>
      </c>
      <c r="J79" s="59">
        <v>199</v>
      </c>
      <c r="K79" s="59">
        <v>27860</v>
      </c>
    </row>
    <row r="80" spans="1:11" ht="15" customHeight="1" x14ac:dyDescent="0.35">
      <c r="A80" s="46">
        <v>18</v>
      </c>
      <c r="B80" s="16" t="s">
        <v>621</v>
      </c>
      <c r="C80" s="45" t="s">
        <v>676</v>
      </c>
      <c r="D80" s="16" t="s">
        <v>407</v>
      </c>
      <c r="E80" s="46">
        <v>200</v>
      </c>
      <c r="F80" s="59">
        <v>230</v>
      </c>
      <c r="G80" s="59">
        <v>46000</v>
      </c>
      <c r="H80" s="59">
        <v>19</v>
      </c>
      <c r="I80" s="59">
        <v>3800</v>
      </c>
      <c r="J80" s="59">
        <v>112</v>
      </c>
      <c r="K80" s="59">
        <v>22400</v>
      </c>
    </row>
    <row r="81" spans="1:11" ht="15" customHeight="1" x14ac:dyDescent="0.35">
      <c r="A81" s="46">
        <v>19</v>
      </c>
      <c r="B81" s="16" t="s">
        <v>623</v>
      </c>
      <c r="C81" s="45" t="s">
        <v>622</v>
      </c>
      <c r="D81" s="16" t="s">
        <v>407</v>
      </c>
      <c r="E81" s="46">
        <v>160</v>
      </c>
      <c r="F81" s="59">
        <v>228</v>
      </c>
      <c r="G81" s="59">
        <v>36480</v>
      </c>
      <c r="H81" s="59">
        <v>98</v>
      </c>
      <c r="I81" s="59">
        <v>15680</v>
      </c>
      <c r="J81" s="59">
        <v>190</v>
      </c>
      <c r="K81" s="59">
        <v>30400</v>
      </c>
    </row>
    <row r="82" spans="1:11" ht="15" customHeight="1" x14ac:dyDescent="0.35">
      <c r="A82" s="46">
        <v>20</v>
      </c>
      <c r="B82" s="16" t="s">
        <v>677</v>
      </c>
      <c r="C82" s="45" t="s">
        <v>678</v>
      </c>
      <c r="D82" s="16" t="s">
        <v>407</v>
      </c>
      <c r="E82" s="46">
        <v>149</v>
      </c>
      <c r="F82" s="59">
        <v>495</v>
      </c>
      <c r="G82" s="59">
        <v>73755</v>
      </c>
      <c r="H82" s="59">
        <v>369</v>
      </c>
      <c r="I82" s="59">
        <v>54981</v>
      </c>
      <c r="J82" s="59">
        <v>217</v>
      </c>
      <c r="K82" s="59">
        <v>32333</v>
      </c>
    </row>
    <row r="83" spans="1:11" ht="15" customHeight="1" x14ac:dyDescent="0.35">
      <c r="A83" s="46">
        <v>21</v>
      </c>
      <c r="B83" s="16" t="s">
        <v>625</v>
      </c>
      <c r="C83" s="45" t="s">
        <v>626</v>
      </c>
      <c r="D83" s="16" t="s">
        <v>478</v>
      </c>
      <c r="E83" s="46">
        <v>1</v>
      </c>
      <c r="F83" s="59">
        <v>9890</v>
      </c>
      <c r="G83" s="59">
        <v>9890</v>
      </c>
      <c r="H83" s="59">
        <v>9400</v>
      </c>
      <c r="I83" s="59">
        <v>9400</v>
      </c>
      <c r="J83" s="59">
        <v>11080</v>
      </c>
      <c r="K83" s="59">
        <v>11080</v>
      </c>
    </row>
    <row r="84" spans="1:11" ht="15" customHeight="1" x14ac:dyDescent="0.35">
      <c r="A84" s="46">
        <v>22</v>
      </c>
      <c r="B84" s="16" t="s">
        <v>627</v>
      </c>
      <c r="C84" s="45" t="s">
        <v>628</v>
      </c>
      <c r="D84" s="16" t="s">
        <v>478</v>
      </c>
      <c r="E84" s="46">
        <v>1</v>
      </c>
      <c r="F84" s="59">
        <v>9890</v>
      </c>
      <c r="G84" s="59">
        <v>9890</v>
      </c>
      <c r="H84" s="59">
        <v>10500</v>
      </c>
      <c r="I84" s="59">
        <v>10500</v>
      </c>
      <c r="J84" s="59">
        <v>8380</v>
      </c>
      <c r="K84" s="59">
        <v>8380</v>
      </c>
    </row>
    <row r="85" spans="1:11" ht="15" customHeight="1" x14ac:dyDescent="0.35">
      <c r="A85" s="46">
        <v>23</v>
      </c>
      <c r="B85" s="16" t="s">
        <v>629</v>
      </c>
      <c r="C85" s="45" t="s">
        <v>632</v>
      </c>
      <c r="D85" s="16" t="s">
        <v>478</v>
      </c>
      <c r="E85" s="46">
        <v>2</v>
      </c>
      <c r="F85" s="59">
        <v>5175</v>
      </c>
      <c r="G85" s="59">
        <v>10350</v>
      </c>
      <c r="H85" s="59">
        <v>3600</v>
      </c>
      <c r="I85" s="59">
        <v>7200</v>
      </c>
      <c r="J85" s="59">
        <v>3920</v>
      </c>
      <c r="K85" s="59">
        <v>7840</v>
      </c>
    </row>
    <row r="86" spans="1:11" ht="15" customHeight="1" x14ac:dyDescent="0.35">
      <c r="A86" s="46">
        <v>24</v>
      </c>
      <c r="B86" s="16" t="s">
        <v>633</v>
      </c>
      <c r="C86" s="45" t="s">
        <v>634</v>
      </c>
      <c r="D86" s="16" t="s">
        <v>28</v>
      </c>
      <c r="E86" s="46">
        <v>1</v>
      </c>
      <c r="F86" s="59">
        <v>138000</v>
      </c>
      <c r="G86" s="59">
        <v>138000</v>
      </c>
      <c r="H86" s="59">
        <v>127000</v>
      </c>
      <c r="I86" s="59">
        <v>127000</v>
      </c>
      <c r="J86" s="59">
        <v>96260</v>
      </c>
      <c r="K86" s="59">
        <v>96260</v>
      </c>
    </row>
    <row r="87" spans="1:11" ht="15" customHeight="1" x14ac:dyDescent="0.35">
      <c r="A87" s="46">
        <v>25</v>
      </c>
      <c r="B87" s="16" t="s">
        <v>635</v>
      </c>
      <c r="C87" s="45" t="s">
        <v>636</v>
      </c>
      <c r="D87" s="16" t="s">
        <v>407</v>
      </c>
      <c r="E87" s="46">
        <v>260</v>
      </c>
      <c r="F87" s="59">
        <v>58</v>
      </c>
      <c r="G87" s="59">
        <v>15080</v>
      </c>
      <c r="H87" s="59">
        <v>55</v>
      </c>
      <c r="I87" s="59">
        <v>14300</v>
      </c>
      <c r="J87" s="59">
        <v>32.5</v>
      </c>
      <c r="K87" s="59">
        <v>8450</v>
      </c>
    </row>
    <row r="88" spans="1:11" ht="15" customHeight="1" x14ac:dyDescent="0.35">
      <c r="A88" s="46">
        <v>26</v>
      </c>
      <c r="B88" s="16" t="s">
        <v>637</v>
      </c>
      <c r="C88" s="45" t="s">
        <v>638</v>
      </c>
      <c r="D88" s="16" t="s">
        <v>478</v>
      </c>
      <c r="E88" s="46">
        <v>41</v>
      </c>
      <c r="F88" s="59">
        <v>460</v>
      </c>
      <c r="G88" s="59">
        <v>18860</v>
      </c>
      <c r="H88" s="59">
        <v>233</v>
      </c>
      <c r="I88" s="59">
        <v>9553</v>
      </c>
      <c r="J88" s="59">
        <v>130</v>
      </c>
      <c r="K88" s="59">
        <v>5330</v>
      </c>
    </row>
    <row r="89" spans="1:11" ht="15" customHeight="1" x14ac:dyDescent="0.35">
      <c r="A89" s="46">
        <v>27</v>
      </c>
      <c r="B89" s="16" t="s">
        <v>639</v>
      </c>
      <c r="C89" s="45" t="s">
        <v>679</v>
      </c>
      <c r="D89" s="16" t="s">
        <v>407</v>
      </c>
      <c r="E89" s="46">
        <v>300</v>
      </c>
      <c r="F89" s="59">
        <v>75</v>
      </c>
      <c r="G89" s="59">
        <v>22500</v>
      </c>
      <c r="H89" s="59">
        <v>214</v>
      </c>
      <c r="I89" s="59">
        <v>64200</v>
      </c>
      <c r="J89" s="59">
        <v>51</v>
      </c>
      <c r="K89" s="59">
        <v>15300</v>
      </c>
    </row>
    <row r="90" spans="1:11" ht="15" customHeight="1" x14ac:dyDescent="0.35">
      <c r="A90" s="46">
        <v>28</v>
      </c>
      <c r="B90" s="16" t="s">
        <v>641</v>
      </c>
      <c r="C90" s="45" t="s">
        <v>642</v>
      </c>
      <c r="D90" s="16" t="s">
        <v>407</v>
      </c>
      <c r="E90" s="46">
        <v>165</v>
      </c>
      <c r="F90" s="59">
        <v>167</v>
      </c>
      <c r="G90" s="59">
        <v>27555</v>
      </c>
      <c r="H90" s="59">
        <v>190</v>
      </c>
      <c r="I90" s="59">
        <v>31350</v>
      </c>
      <c r="J90" s="59">
        <v>153</v>
      </c>
      <c r="K90" s="59">
        <v>25245</v>
      </c>
    </row>
    <row r="91" spans="1:11" ht="15" customHeight="1" x14ac:dyDescent="0.35">
      <c r="A91" s="46">
        <v>29</v>
      </c>
      <c r="B91" s="16" t="s">
        <v>643</v>
      </c>
      <c r="C91" s="45" t="s">
        <v>644</v>
      </c>
      <c r="D91" s="16" t="s">
        <v>428</v>
      </c>
      <c r="E91" s="46">
        <v>450</v>
      </c>
      <c r="F91" s="59">
        <v>69</v>
      </c>
      <c r="G91" s="59">
        <v>31050</v>
      </c>
      <c r="H91" s="59">
        <v>113</v>
      </c>
      <c r="I91" s="59">
        <v>50850</v>
      </c>
      <c r="J91" s="59">
        <v>147</v>
      </c>
      <c r="K91" s="59">
        <v>66150</v>
      </c>
    </row>
    <row r="92" spans="1:11" ht="15" customHeight="1" x14ac:dyDescent="0.35">
      <c r="A92" s="46">
        <v>30</v>
      </c>
      <c r="B92" s="16" t="s">
        <v>645</v>
      </c>
      <c r="C92" s="45" t="s">
        <v>646</v>
      </c>
      <c r="D92" s="16" t="s">
        <v>28</v>
      </c>
      <c r="E92" s="46">
        <v>1</v>
      </c>
      <c r="F92" s="59">
        <v>23000</v>
      </c>
      <c r="G92" s="59">
        <v>23000</v>
      </c>
      <c r="H92" s="59">
        <v>17000</v>
      </c>
      <c r="I92" s="59">
        <v>17000</v>
      </c>
      <c r="J92" s="59">
        <v>26290</v>
      </c>
      <c r="K92" s="59">
        <v>26290</v>
      </c>
    </row>
    <row r="93" spans="1:11" ht="15" customHeight="1" x14ac:dyDescent="0.35">
      <c r="A93" s="46">
        <v>31</v>
      </c>
      <c r="B93" s="16" t="s">
        <v>647</v>
      </c>
      <c r="C93" s="45" t="s">
        <v>648</v>
      </c>
      <c r="D93" s="16" t="s">
        <v>478</v>
      </c>
      <c r="E93" s="46">
        <v>5</v>
      </c>
      <c r="F93" s="59">
        <v>575</v>
      </c>
      <c r="G93" s="59">
        <v>2875</v>
      </c>
      <c r="H93" s="59">
        <v>293</v>
      </c>
      <c r="I93" s="59">
        <v>1465</v>
      </c>
      <c r="J93" s="59">
        <v>259</v>
      </c>
      <c r="K93" s="59">
        <v>1295</v>
      </c>
    </row>
    <row r="94" spans="1:11" ht="15" customHeight="1" x14ac:dyDescent="0.35">
      <c r="A94" s="46">
        <v>32</v>
      </c>
      <c r="B94" s="16" t="s">
        <v>649</v>
      </c>
      <c r="C94" s="45" t="s">
        <v>650</v>
      </c>
      <c r="D94" s="16" t="s">
        <v>478</v>
      </c>
      <c r="E94" s="46">
        <v>3</v>
      </c>
      <c r="F94" s="59">
        <v>230</v>
      </c>
      <c r="G94" s="59">
        <v>690</v>
      </c>
      <c r="H94" s="59">
        <v>147</v>
      </c>
      <c r="I94" s="59">
        <v>441</v>
      </c>
      <c r="J94" s="59">
        <v>369</v>
      </c>
      <c r="K94" s="59">
        <v>1107</v>
      </c>
    </row>
    <row r="95" spans="1:11" ht="15" customHeight="1" x14ac:dyDescent="0.35">
      <c r="A95" s="46">
        <v>33</v>
      </c>
      <c r="B95" s="16" t="s">
        <v>651</v>
      </c>
      <c r="C95" s="45" t="s">
        <v>652</v>
      </c>
      <c r="D95" s="16" t="s">
        <v>407</v>
      </c>
      <c r="E95" s="46">
        <v>260</v>
      </c>
      <c r="F95" s="59">
        <v>121</v>
      </c>
      <c r="G95" s="59">
        <v>31460</v>
      </c>
      <c r="H95" s="59">
        <v>90</v>
      </c>
      <c r="I95" s="59">
        <v>23400</v>
      </c>
      <c r="J95" s="59">
        <v>79</v>
      </c>
      <c r="K95" s="59">
        <v>20540</v>
      </c>
    </row>
    <row r="96" spans="1:11" ht="15" customHeight="1" x14ac:dyDescent="0.35">
      <c r="A96" s="46">
        <v>34</v>
      </c>
      <c r="B96" s="16" t="s">
        <v>653</v>
      </c>
      <c r="C96" s="45" t="s">
        <v>654</v>
      </c>
      <c r="D96" s="16" t="s">
        <v>478</v>
      </c>
      <c r="E96" s="46">
        <v>2</v>
      </c>
      <c r="F96" s="59">
        <v>13800</v>
      </c>
      <c r="G96" s="59">
        <v>27600</v>
      </c>
      <c r="H96" s="59">
        <v>11700</v>
      </c>
      <c r="I96" s="59">
        <v>23400</v>
      </c>
      <c r="J96" s="59">
        <v>10350</v>
      </c>
      <c r="K96" s="59">
        <v>20700</v>
      </c>
    </row>
    <row r="97" spans="1:11" ht="15" customHeight="1" x14ac:dyDescent="0.35">
      <c r="A97" s="46">
        <v>35</v>
      </c>
      <c r="B97" s="16" t="s">
        <v>655</v>
      </c>
      <c r="C97" s="45" t="s">
        <v>656</v>
      </c>
      <c r="D97" s="16" t="s">
        <v>478</v>
      </c>
      <c r="E97" s="46">
        <v>2</v>
      </c>
      <c r="F97" s="59">
        <v>11500</v>
      </c>
      <c r="G97" s="59">
        <v>23000</v>
      </c>
      <c r="H97" s="59">
        <v>4100</v>
      </c>
      <c r="I97" s="59">
        <v>8200</v>
      </c>
      <c r="J97" s="59">
        <v>3630</v>
      </c>
      <c r="K97" s="59">
        <v>7260</v>
      </c>
    </row>
    <row r="98" spans="1:11" ht="15" customHeight="1" x14ac:dyDescent="0.35">
      <c r="A98" s="46">
        <v>36</v>
      </c>
      <c r="B98" s="16" t="s">
        <v>657</v>
      </c>
      <c r="C98" s="45" t="s">
        <v>658</v>
      </c>
      <c r="D98" s="16" t="s">
        <v>478</v>
      </c>
      <c r="E98" s="46">
        <v>1</v>
      </c>
      <c r="F98" s="59">
        <v>575</v>
      </c>
      <c r="G98" s="59">
        <v>575</v>
      </c>
      <c r="H98" s="59">
        <v>366</v>
      </c>
      <c r="I98" s="59">
        <v>366</v>
      </c>
      <c r="J98" s="59">
        <v>777</v>
      </c>
      <c r="K98" s="59">
        <v>777</v>
      </c>
    </row>
    <row r="99" spans="1:11" ht="15" customHeight="1" x14ac:dyDescent="0.35">
      <c r="A99" s="46">
        <v>37</v>
      </c>
      <c r="B99" s="16" t="s">
        <v>659</v>
      </c>
      <c r="C99" s="45" t="s">
        <v>660</v>
      </c>
      <c r="D99" s="16" t="s">
        <v>407</v>
      </c>
      <c r="E99" s="46">
        <v>900</v>
      </c>
      <c r="F99" s="59">
        <v>2</v>
      </c>
      <c r="G99" s="59">
        <v>1800</v>
      </c>
      <c r="H99" s="59">
        <v>1</v>
      </c>
      <c r="I99" s="59">
        <v>900</v>
      </c>
      <c r="J99" s="59">
        <v>0.65</v>
      </c>
      <c r="K99" s="59">
        <v>585</v>
      </c>
    </row>
    <row r="100" spans="1:11" ht="15" customHeight="1" x14ac:dyDescent="0.35">
      <c r="A100" s="46">
        <v>38</v>
      </c>
      <c r="B100" s="16" t="s">
        <v>661</v>
      </c>
      <c r="C100" s="45" t="s">
        <v>662</v>
      </c>
      <c r="D100" s="16" t="s">
        <v>478</v>
      </c>
      <c r="E100" s="46">
        <v>3</v>
      </c>
      <c r="F100" s="59">
        <v>575</v>
      </c>
      <c r="G100" s="59">
        <v>1725</v>
      </c>
      <c r="H100" s="59">
        <v>125</v>
      </c>
      <c r="I100" s="59">
        <v>375</v>
      </c>
      <c r="J100" s="59">
        <v>155</v>
      </c>
      <c r="K100" s="59">
        <v>465</v>
      </c>
    </row>
    <row r="101" spans="1:11" ht="15" customHeight="1" x14ac:dyDescent="0.35">
      <c r="A101" s="46">
        <v>39</v>
      </c>
      <c r="B101" s="16" t="s">
        <v>663</v>
      </c>
      <c r="C101" s="45" t="s">
        <v>664</v>
      </c>
      <c r="D101" s="16" t="s">
        <v>478</v>
      </c>
      <c r="E101" s="46">
        <v>3</v>
      </c>
      <c r="F101" s="59">
        <v>288</v>
      </c>
      <c r="G101" s="59">
        <v>864</v>
      </c>
      <c r="H101" s="59">
        <v>73</v>
      </c>
      <c r="I101" s="59">
        <v>219</v>
      </c>
      <c r="J101" s="59">
        <v>130</v>
      </c>
      <c r="K101" s="59">
        <v>390</v>
      </c>
    </row>
    <row r="102" spans="1:11" ht="15" customHeight="1" x14ac:dyDescent="0.35">
      <c r="A102" s="46">
        <v>40</v>
      </c>
      <c r="B102" s="16" t="s">
        <v>665</v>
      </c>
      <c r="C102" s="45" t="s">
        <v>666</v>
      </c>
      <c r="D102" s="16" t="s">
        <v>412</v>
      </c>
      <c r="E102" s="46">
        <v>40</v>
      </c>
      <c r="F102" s="59">
        <v>35</v>
      </c>
      <c r="G102" s="59">
        <v>1400</v>
      </c>
      <c r="H102" s="59">
        <v>19</v>
      </c>
      <c r="I102" s="59">
        <v>760</v>
      </c>
      <c r="J102" s="59">
        <v>16.2</v>
      </c>
      <c r="K102" s="59">
        <v>648</v>
      </c>
    </row>
    <row r="103" spans="1:11" ht="15" customHeight="1" x14ac:dyDescent="0.35">
      <c r="A103" s="46">
        <v>41</v>
      </c>
      <c r="B103" s="16" t="s">
        <v>667</v>
      </c>
      <c r="C103" s="45" t="s">
        <v>668</v>
      </c>
      <c r="D103" s="16" t="s">
        <v>478</v>
      </c>
      <c r="E103" s="46">
        <v>6</v>
      </c>
      <c r="F103" s="59">
        <v>138</v>
      </c>
      <c r="G103" s="59">
        <v>828</v>
      </c>
      <c r="H103" s="59">
        <v>270</v>
      </c>
      <c r="I103" s="59">
        <v>1620</v>
      </c>
      <c r="J103" s="59">
        <v>240</v>
      </c>
      <c r="K103" s="59">
        <v>1440</v>
      </c>
    </row>
    <row r="104" spans="1:11" ht="15.75" customHeight="1" thickBot="1" x14ac:dyDescent="0.4">
      <c r="A104" s="46">
        <v>42</v>
      </c>
      <c r="B104" s="16" t="s">
        <v>669</v>
      </c>
      <c r="C104" s="45" t="s">
        <v>670</v>
      </c>
      <c r="D104" s="16" t="s">
        <v>412</v>
      </c>
      <c r="E104" s="46">
        <v>60</v>
      </c>
      <c r="F104" s="59">
        <v>69</v>
      </c>
      <c r="G104" s="59">
        <v>4140</v>
      </c>
      <c r="H104" s="59">
        <v>155</v>
      </c>
      <c r="I104" s="59">
        <v>9300</v>
      </c>
      <c r="J104" s="59">
        <v>27.8</v>
      </c>
      <c r="K104" s="59">
        <v>1668</v>
      </c>
    </row>
    <row r="105" spans="1:11" ht="16" thickBot="1" x14ac:dyDescent="0.4">
      <c r="A105" s="21"/>
      <c r="B105" s="29"/>
      <c r="C105" s="21"/>
      <c r="D105" s="178" t="s">
        <v>680</v>
      </c>
      <c r="E105" s="179"/>
      <c r="F105" s="17"/>
      <c r="G105" s="17">
        <f>SUM(Table001__Page_2_3810[EXTENDED TOTAL])</f>
        <v>1412848</v>
      </c>
      <c r="H105" s="17"/>
      <c r="I105" s="17">
        <f>SUM(Table001__Page_2_3810[[EXTENDED TOTAL ]])</f>
        <v>1287852</v>
      </c>
      <c r="J105" s="17"/>
      <c r="K105" s="18">
        <f>SUM(Table001__Page_2_3810[[EXTENDED TOTAL  ]])</f>
        <v>1526027.25</v>
      </c>
    </row>
    <row r="106" spans="1:11" x14ac:dyDescent="0.35">
      <c r="A106" s="14"/>
      <c r="B106" s="29"/>
      <c r="C106" s="14"/>
      <c r="D106" s="14"/>
      <c r="E106" s="16"/>
      <c r="F106" s="14"/>
      <c r="G106" s="14"/>
      <c r="H106" s="14"/>
      <c r="I106" s="14"/>
      <c r="J106" s="14"/>
      <c r="K106" s="14"/>
    </row>
    <row r="107" spans="1:11" x14ac:dyDescent="0.35">
      <c r="A107" s="14"/>
      <c r="B107" s="29"/>
      <c r="C107" s="14"/>
      <c r="D107" s="188" t="s">
        <v>456</v>
      </c>
      <c r="E107" s="189"/>
      <c r="F107" s="36"/>
      <c r="G107" s="161" t="s">
        <v>457</v>
      </c>
      <c r="H107" s="39"/>
      <c r="I107" s="38">
        <f>I105-G105</f>
        <v>-124996</v>
      </c>
      <c r="J107" s="39"/>
      <c r="K107" s="40">
        <f>K105-G105</f>
        <v>113179.25</v>
      </c>
    </row>
    <row r="109" spans="1:11" ht="14.25" customHeight="1" x14ac:dyDescent="0.35">
      <c r="A109" s="104"/>
      <c r="E109" s="190" t="s">
        <v>458</v>
      </c>
      <c r="F109" s="191"/>
      <c r="G109" s="37"/>
      <c r="H109" s="41"/>
      <c r="I109" s="102">
        <f>I107/G105</f>
        <v>-8.8470946626954913E-2</v>
      </c>
      <c r="J109" s="41"/>
      <c r="K109" s="103">
        <f>K107/G105</f>
        <v>8.0107166517558864E-2</v>
      </c>
    </row>
    <row r="110" spans="1:11" ht="15" thickBot="1" x14ac:dyDescent="0.4"/>
    <row r="111" spans="1:11" ht="16" thickBot="1" x14ac:dyDescent="0.4">
      <c r="A111" s="173" t="s">
        <v>1309</v>
      </c>
      <c r="B111" s="174"/>
      <c r="C111" s="174"/>
      <c r="D111" s="174"/>
      <c r="E111" s="175"/>
      <c r="F111" s="173" t="s">
        <v>12</v>
      </c>
      <c r="G111" s="175"/>
      <c r="H111" s="173" t="s">
        <v>592</v>
      </c>
      <c r="I111" s="175"/>
      <c r="J111" s="173" t="s">
        <v>593</v>
      </c>
      <c r="K111" s="175"/>
    </row>
    <row r="112" spans="1:11" x14ac:dyDescent="0.35">
      <c r="A112" s="23" t="s">
        <v>15</v>
      </c>
      <c r="B112" s="23" t="s">
        <v>396</v>
      </c>
      <c r="C112" s="23" t="s">
        <v>17</v>
      </c>
      <c r="D112" s="23" t="s">
        <v>18</v>
      </c>
      <c r="E112" s="23" t="s">
        <v>19</v>
      </c>
      <c r="F112" s="23" t="s">
        <v>20</v>
      </c>
      <c r="G112" s="23" t="s">
        <v>21</v>
      </c>
      <c r="H112" s="23" t="s">
        <v>397</v>
      </c>
      <c r="I112" s="23" t="s">
        <v>398</v>
      </c>
      <c r="J112" s="23" t="s">
        <v>399</v>
      </c>
      <c r="K112" s="23" t="s">
        <v>400</v>
      </c>
    </row>
    <row r="113" spans="1:11" ht="15" customHeight="1" x14ac:dyDescent="0.35">
      <c r="A113" s="46">
        <v>1</v>
      </c>
      <c r="B113" s="16" t="s">
        <v>594</v>
      </c>
      <c r="C113" s="45" t="s">
        <v>595</v>
      </c>
      <c r="D113" s="16" t="s">
        <v>28</v>
      </c>
      <c r="E113" s="46">
        <v>1</v>
      </c>
      <c r="F113" s="56">
        <v>32200</v>
      </c>
      <c r="G113" s="56">
        <v>32200</v>
      </c>
      <c r="H113" s="56">
        <v>29300</v>
      </c>
      <c r="I113" s="56">
        <v>29300</v>
      </c>
      <c r="J113" s="56">
        <v>51250</v>
      </c>
      <c r="K113" s="56">
        <f>Table001__Page_2_381017[[#This Row],[UNIT COST  ]]*Table001__Page_2_381017[[#This Row],[ESTIMATED QUANTITY]]</f>
        <v>51250</v>
      </c>
    </row>
    <row r="114" spans="1:11" x14ac:dyDescent="0.35">
      <c r="A114" s="46">
        <v>2</v>
      </c>
      <c r="B114" s="16" t="s">
        <v>479</v>
      </c>
      <c r="C114" s="45" t="s">
        <v>596</v>
      </c>
      <c r="D114" s="16" t="s">
        <v>478</v>
      </c>
      <c r="E114" s="46">
        <v>5</v>
      </c>
      <c r="F114" s="56">
        <v>1150</v>
      </c>
      <c r="G114" s="56">
        <v>5750</v>
      </c>
      <c r="H114" s="56">
        <v>4455</v>
      </c>
      <c r="I114" s="56">
        <v>22275</v>
      </c>
      <c r="J114" s="57">
        <v>850</v>
      </c>
      <c r="K114" s="56">
        <f>Table001__Page_2_381017[[#This Row],[UNIT COST  ]]*Table001__Page_2_381017[[#This Row],[ESTIMATED QUANTITY]]</f>
        <v>4250</v>
      </c>
    </row>
    <row r="115" spans="1:11" ht="15" customHeight="1" x14ac:dyDescent="0.35">
      <c r="A115" s="46">
        <v>3</v>
      </c>
      <c r="B115" s="16" t="s">
        <v>481</v>
      </c>
      <c r="C115" s="45" t="s">
        <v>597</v>
      </c>
      <c r="D115" s="16" t="s">
        <v>478</v>
      </c>
      <c r="E115" s="46">
        <v>2</v>
      </c>
      <c r="F115" s="56">
        <v>1725</v>
      </c>
      <c r="G115" s="56">
        <v>3450</v>
      </c>
      <c r="H115" s="56">
        <v>1480</v>
      </c>
      <c r="I115" s="56">
        <v>2960</v>
      </c>
      <c r="J115" s="57">
        <v>945</v>
      </c>
      <c r="K115" s="56">
        <f>Table001__Page_2_381017[[#This Row],[UNIT COST  ]]*Table001__Page_2_381017[[#This Row],[ESTIMATED QUANTITY]]</f>
        <v>1890</v>
      </c>
    </row>
    <row r="116" spans="1:11" ht="15" customHeight="1" x14ac:dyDescent="0.35">
      <c r="A116" s="46">
        <v>4</v>
      </c>
      <c r="B116" s="16" t="s">
        <v>26</v>
      </c>
      <c r="C116" s="45" t="s">
        <v>598</v>
      </c>
      <c r="D116" s="16" t="s">
        <v>28</v>
      </c>
      <c r="E116" s="46">
        <v>1</v>
      </c>
      <c r="F116" s="56">
        <v>139035</v>
      </c>
      <c r="G116" s="56">
        <v>139035</v>
      </c>
      <c r="H116" s="56">
        <v>96000</v>
      </c>
      <c r="I116" s="56">
        <v>96000</v>
      </c>
      <c r="J116" s="56">
        <v>94310</v>
      </c>
      <c r="K116" s="56">
        <f>Table001__Page_2_381017[[#This Row],[UNIT COST  ]]*Table001__Page_2_381017[[#This Row],[ESTIMATED QUANTITY]]</f>
        <v>94310</v>
      </c>
    </row>
    <row r="117" spans="1:11" x14ac:dyDescent="0.35">
      <c r="A117" s="46">
        <v>5</v>
      </c>
      <c r="B117" s="16" t="s">
        <v>599</v>
      </c>
      <c r="C117" s="45" t="s">
        <v>600</v>
      </c>
      <c r="D117" s="16" t="s">
        <v>28</v>
      </c>
      <c r="E117" s="46">
        <v>1</v>
      </c>
      <c r="F117" s="56">
        <v>31625</v>
      </c>
      <c r="G117" s="56">
        <v>31625</v>
      </c>
      <c r="H117" s="56">
        <v>5000</v>
      </c>
      <c r="I117" s="56">
        <v>5000</v>
      </c>
      <c r="J117" s="56">
        <v>17620</v>
      </c>
      <c r="K117" s="56">
        <f>Table001__Page_2_381017[[#This Row],[UNIT COST  ]]*Table001__Page_2_381017[[#This Row],[ESTIMATED QUANTITY]]</f>
        <v>17620</v>
      </c>
    </row>
    <row r="118" spans="1:11" ht="15" customHeight="1" x14ac:dyDescent="0.35">
      <c r="A118" s="46">
        <v>6</v>
      </c>
      <c r="B118" s="16" t="s">
        <v>601</v>
      </c>
      <c r="C118" s="45" t="s">
        <v>602</v>
      </c>
      <c r="D118" s="16" t="s">
        <v>28</v>
      </c>
      <c r="E118" s="46">
        <v>1</v>
      </c>
      <c r="F118" s="56">
        <v>2990</v>
      </c>
      <c r="G118" s="56">
        <v>2990</v>
      </c>
      <c r="H118" s="56">
        <v>21400</v>
      </c>
      <c r="I118" s="56">
        <v>21400</v>
      </c>
      <c r="J118" s="56">
        <v>28548.25</v>
      </c>
      <c r="K118" s="56">
        <f>Table001__Page_2_381017[[#This Row],[UNIT COST  ]]*Table001__Page_2_381017[[#This Row],[ESTIMATED QUANTITY]]</f>
        <v>28548.25</v>
      </c>
    </row>
    <row r="119" spans="1:11" ht="15" customHeight="1" x14ac:dyDescent="0.35">
      <c r="A119" s="46">
        <v>7</v>
      </c>
      <c r="B119" s="16" t="s">
        <v>603</v>
      </c>
      <c r="C119" s="45" t="s">
        <v>604</v>
      </c>
      <c r="D119" s="16" t="s">
        <v>28</v>
      </c>
      <c r="E119" s="46">
        <v>1</v>
      </c>
      <c r="F119" s="56">
        <v>9775</v>
      </c>
      <c r="G119" s="56">
        <v>9775</v>
      </c>
      <c r="H119" s="56">
        <v>9000</v>
      </c>
      <c r="I119" s="56">
        <v>9000</v>
      </c>
      <c r="J119" s="56">
        <v>22840</v>
      </c>
      <c r="K119" s="56">
        <f>Table001__Page_2_381017[[#This Row],[UNIT COST  ]]*Table001__Page_2_381017[[#This Row],[ESTIMATED QUANTITY]]</f>
        <v>22840</v>
      </c>
    </row>
    <row r="120" spans="1:11" ht="15" customHeight="1" x14ac:dyDescent="0.35">
      <c r="A120" s="46">
        <v>8</v>
      </c>
      <c r="B120" s="16" t="s">
        <v>605</v>
      </c>
      <c r="C120" s="45" t="s">
        <v>606</v>
      </c>
      <c r="D120" s="16" t="s">
        <v>412</v>
      </c>
      <c r="E120" s="48">
        <v>1738</v>
      </c>
      <c r="F120" s="57">
        <v>17</v>
      </c>
      <c r="G120" s="56">
        <v>29546</v>
      </c>
      <c r="H120" s="57">
        <v>26</v>
      </c>
      <c r="I120" s="56">
        <v>45188</v>
      </c>
      <c r="J120" s="57">
        <v>15.1</v>
      </c>
      <c r="K120" s="56">
        <f>Table001__Page_2_381017[[#This Row],[UNIT COST  ]]*Table001__Page_2_381017[[#This Row],[ESTIMATED QUANTITY]]</f>
        <v>26243.8</v>
      </c>
    </row>
    <row r="121" spans="1:11" ht="15" customHeight="1" x14ac:dyDescent="0.35">
      <c r="A121" s="46">
        <v>9</v>
      </c>
      <c r="B121" s="16" t="s">
        <v>607</v>
      </c>
      <c r="C121" s="45" t="s">
        <v>608</v>
      </c>
      <c r="D121" s="16" t="s">
        <v>428</v>
      </c>
      <c r="E121" s="48">
        <v>2389</v>
      </c>
      <c r="F121" s="57">
        <v>69</v>
      </c>
      <c r="G121" s="56">
        <v>164841</v>
      </c>
      <c r="H121" s="57">
        <v>77</v>
      </c>
      <c r="I121" s="56">
        <v>183953</v>
      </c>
      <c r="J121" s="57">
        <v>77.349999999999994</v>
      </c>
      <c r="K121" s="56">
        <f>Table001__Page_2_381017[[#This Row],[UNIT COST  ]]*Table001__Page_2_381017[[#This Row],[ESTIMATED QUANTITY]]</f>
        <v>184789.15</v>
      </c>
    </row>
    <row r="122" spans="1:11" ht="15" customHeight="1" x14ac:dyDescent="0.35">
      <c r="A122" s="46">
        <v>10</v>
      </c>
      <c r="B122" s="16" t="s">
        <v>672</v>
      </c>
      <c r="C122" s="45" t="s">
        <v>673</v>
      </c>
      <c r="D122" s="16" t="s">
        <v>428</v>
      </c>
      <c r="E122" s="46">
        <v>200</v>
      </c>
      <c r="F122" s="57">
        <v>92</v>
      </c>
      <c r="G122" s="56">
        <v>18400</v>
      </c>
      <c r="H122" s="57">
        <v>166</v>
      </c>
      <c r="I122" s="56">
        <v>33200</v>
      </c>
      <c r="J122" s="57">
        <v>157</v>
      </c>
      <c r="K122" s="56">
        <f>Table001__Page_2_381017[[#This Row],[UNIT COST  ]]*Table001__Page_2_381017[[#This Row],[ESTIMATED QUANTITY]]</f>
        <v>31400</v>
      </c>
    </row>
    <row r="123" spans="1:11" ht="15" customHeight="1" x14ac:dyDescent="0.35">
      <c r="A123" s="46">
        <v>11</v>
      </c>
      <c r="B123" s="16" t="s">
        <v>609</v>
      </c>
      <c r="C123" s="45" t="s">
        <v>610</v>
      </c>
      <c r="D123" s="16" t="s">
        <v>407</v>
      </c>
      <c r="E123" s="46">
        <v>347</v>
      </c>
      <c r="F123" s="57">
        <v>35</v>
      </c>
      <c r="G123" s="56">
        <v>12145</v>
      </c>
      <c r="H123" s="57">
        <v>32</v>
      </c>
      <c r="I123" s="56">
        <v>11104</v>
      </c>
      <c r="J123" s="57">
        <v>11</v>
      </c>
      <c r="K123" s="56">
        <f>Table001__Page_2_381017[[#This Row],[UNIT COST  ]]*Table001__Page_2_381017[[#This Row],[ESTIMATED QUANTITY]]</f>
        <v>3817</v>
      </c>
    </row>
    <row r="124" spans="1:11" ht="15" customHeight="1" x14ac:dyDescent="0.35">
      <c r="A124" s="46">
        <v>12</v>
      </c>
      <c r="B124" s="16" t="s">
        <v>674</v>
      </c>
      <c r="C124" s="45" t="s">
        <v>675</v>
      </c>
      <c r="D124" s="16" t="s">
        <v>545</v>
      </c>
      <c r="E124" s="48">
        <v>4081</v>
      </c>
      <c r="F124" s="57">
        <v>69</v>
      </c>
      <c r="G124" s="56">
        <v>281589</v>
      </c>
      <c r="H124" s="57">
        <v>65</v>
      </c>
      <c r="I124" s="56">
        <v>265265</v>
      </c>
      <c r="J124" s="57">
        <v>147</v>
      </c>
      <c r="K124" s="56">
        <f>Table001__Page_2_381017[[#This Row],[UNIT COST  ]]*Table001__Page_2_381017[[#This Row],[ESTIMATED QUANTITY]]</f>
        <v>599907</v>
      </c>
    </row>
    <row r="125" spans="1:11" ht="15" customHeight="1" x14ac:dyDescent="0.35">
      <c r="A125" s="46">
        <v>13</v>
      </c>
      <c r="B125" s="16" t="s">
        <v>611</v>
      </c>
      <c r="C125" s="45" t="s">
        <v>612</v>
      </c>
      <c r="D125" s="16" t="s">
        <v>435</v>
      </c>
      <c r="E125" s="46">
        <v>880</v>
      </c>
      <c r="F125" s="57">
        <v>58</v>
      </c>
      <c r="G125" s="56">
        <v>51040</v>
      </c>
      <c r="H125" s="57">
        <v>66</v>
      </c>
      <c r="I125" s="56">
        <v>58080</v>
      </c>
      <c r="J125" s="57">
        <v>59</v>
      </c>
      <c r="K125" s="56">
        <f>Table001__Page_2_381017[[#This Row],[UNIT COST  ]]*Table001__Page_2_381017[[#This Row],[ESTIMATED QUANTITY]]</f>
        <v>51920</v>
      </c>
    </row>
    <row r="126" spans="1:11" ht="15" customHeight="1" x14ac:dyDescent="0.35">
      <c r="A126" s="46">
        <v>14</v>
      </c>
      <c r="B126" s="16" t="s">
        <v>613</v>
      </c>
      <c r="C126" s="45" t="s">
        <v>614</v>
      </c>
      <c r="D126" s="16" t="s">
        <v>435</v>
      </c>
      <c r="E126" s="46">
        <v>220</v>
      </c>
      <c r="F126" s="57">
        <v>224</v>
      </c>
      <c r="G126" s="56">
        <v>49280</v>
      </c>
      <c r="H126" s="57">
        <v>190</v>
      </c>
      <c r="I126" s="56">
        <v>41800</v>
      </c>
      <c r="J126" s="57">
        <v>155</v>
      </c>
      <c r="K126" s="56">
        <f>Table001__Page_2_381017[[#This Row],[UNIT COST  ]]*Table001__Page_2_381017[[#This Row],[ESTIMATED QUANTITY]]</f>
        <v>34100</v>
      </c>
    </row>
    <row r="127" spans="1:11" ht="15" customHeight="1" x14ac:dyDescent="0.35">
      <c r="A127" s="46">
        <v>15</v>
      </c>
      <c r="B127" s="16" t="s">
        <v>615</v>
      </c>
      <c r="C127" s="45" t="s">
        <v>616</v>
      </c>
      <c r="D127" s="16" t="s">
        <v>446</v>
      </c>
      <c r="E127" s="46">
        <v>580</v>
      </c>
      <c r="F127" s="57">
        <v>7</v>
      </c>
      <c r="G127" s="56">
        <v>4060</v>
      </c>
      <c r="H127" s="57">
        <v>6</v>
      </c>
      <c r="I127" s="56">
        <v>3480</v>
      </c>
      <c r="J127" s="57">
        <v>8</v>
      </c>
      <c r="K127" s="56">
        <f>Table001__Page_2_381017[[#This Row],[UNIT COST  ]]*Table001__Page_2_381017[[#This Row],[ESTIMATED QUANTITY]]</f>
        <v>4640</v>
      </c>
    </row>
    <row r="128" spans="1:11" ht="15" customHeight="1" x14ac:dyDescent="0.35">
      <c r="A128" s="46">
        <v>16</v>
      </c>
      <c r="B128" s="16" t="s">
        <v>617</v>
      </c>
      <c r="C128" s="45" t="s">
        <v>618</v>
      </c>
      <c r="D128" s="16" t="s">
        <v>446</v>
      </c>
      <c r="E128" s="46">
        <v>230</v>
      </c>
      <c r="F128" s="57">
        <v>7</v>
      </c>
      <c r="G128" s="56">
        <v>1610</v>
      </c>
      <c r="H128" s="57">
        <v>6</v>
      </c>
      <c r="I128" s="56">
        <v>1380</v>
      </c>
      <c r="J128" s="57">
        <v>12</v>
      </c>
      <c r="K128" s="56">
        <f>Table001__Page_2_381017[[#This Row],[UNIT COST  ]]*Table001__Page_2_381017[[#This Row],[ESTIMATED QUANTITY]]</f>
        <v>2760</v>
      </c>
    </row>
    <row r="129" spans="1:11" ht="15" customHeight="1" x14ac:dyDescent="0.35">
      <c r="A129" s="46">
        <v>17</v>
      </c>
      <c r="B129" s="16" t="s">
        <v>619</v>
      </c>
      <c r="C129" s="45" t="s">
        <v>620</v>
      </c>
      <c r="D129" s="16" t="s">
        <v>435</v>
      </c>
      <c r="E129" s="46">
        <v>170</v>
      </c>
      <c r="F129" s="57">
        <v>247</v>
      </c>
      <c r="G129" s="56">
        <v>41990</v>
      </c>
      <c r="H129" s="57">
        <v>228</v>
      </c>
      <c r="I129" s="56">
        <v>38760</v>
      </c>
      <c r="J129" s="57">
        <v>199</v>
      </c>
      <c r="K129" s="56">
        <f>Table001__Page_2_381017[[#This Row],[UNIT COST  ]]*Table001__Page_2_381017[[#This Row],[ESTIMATED QUANTITY]]</f>
        <v>33830</v>
      </c>
    </row>
    <row r="130" spans="1:11" ht="15" customHeight="1" x14ac:dyDescent="0.35">
      <c r="A130" s="46">
        <v>18</v>
      </c>
      <c r="B130" s="16" t="s">
        <v>621</v>
      </c>
      <c r="C130" s="45" t="s">
        <v>676</v>
      </c>
      <c r="D130" s="16" t="s">
        <v>407</v>
      </c>
      <c r="E130" s="46">
        <v>200</v>
      </c>
      <c r="F130" s="57">
        <v>173</v>
      </c>
      <c r="G130" s="56">
        <v>34600</v>
      </c>
      <c r="H130" s="57">
        <v>19</v>
      </c>
      <c r="I130" s="56">
        <v>3800</v>
      </c>
      <c r="J130" s="57">
        <v>112</v>
      </c>
      <c r="K130" s="56">
        <f>Table001__Page_2_381017[[#This Row],[UNIT COST  ]]*Table001__Page_2_381017[[#This Row],[ESTIMATED QUANTITY]]</f>
        <v>22400</v>
      </c>
    </row>
    <row r="131" spans="1:11" ht="15" customHeight="1" x14ac:dyDescent="0.35">
      <c r="A131" s="46">
        <v>19</v>
      </c>
      <c r="B131" s="16" t="s">
        <v>623</v>
      </c>
      <c r="C131" s="45" t="s">
        <v>622</v>
      </c>
      <c r="D131" s="16" t="s">
        <v>407</v>
      </c>
      <c r="E131" s="46">
        <v>285</v>
      </c>
      <c r="F131" s="57">
        <v>228</v>
      </c>
      <c r="G131" s="56">
        <v>64980</v>
      </c>
      <c r="H131" s="57">
        <v>167</v>
      </c>
      <c r="I131" s="56">
        <v>47595</v>
      </c>
      <c r="J131" s="57">
        <v>180</v>
      </c>
      <c r="K131" s="56">
        <f>Table001__Page_2_381017[[#This Row],[UNIT COST  ]]*Table001__Page_2_381017[[#This Row],[ESTIMATED QUANTITY]]</f>
        <v>51300</v>
      </c>
    </row>
    <row r="132" spans="1:11" ht="15" customHeight="1" x14ac:dyDescent="0.35">
      <c r="A132" s="46">
        <v>20</v>
      </c>
      <c r="B132" s="16" t="s">
        <v>677</v>
      </c>
      <c r="C132" s="45" t="s">
        <v>678</v>
      </c>
      <c r="D132" s="16" t="s">
        <v>407</v>
      </c>
      <c r="E132" s="46">
        <v>182</v>
      </c>
      <c r="F132" s="57">
        <v>495</v>
      </c>
      <c r="G132" s="56">
        <v>90090</v>
      </c>
      <c r="H132" s="57">
        <v>302</v>
      </c>
      <c r="I132" s="56">
        <v>54964</v>
      </c>
      <c r="J132" s="57">
        <v>213</v>
      </c>
      <c r="K132" s="56">
        <f>Table001__Page_2_381017[[#This Row],[UNIT COST  ]]*Table001__Page_2_381017[[#This Row],[ESTIMATED QUANTITY]]</f>
        <v>38766</v>
      </c>
    </row>
    <row r="133" spans="1:11" ht="15" customHeight="1" x14ac:dyDescent="0.35">
      <c r="A133" s="46">
        <v>21</v>
      </c>
      <c r="B133" s="16" t="s">
        <v>625</v>
      </c>
      <c r="C133" s="45" t="s">
        <v>626</v>
      </c>
      <c r="D133" s="16" t="s">
        <v>478</v>
      </c>
      <c r="E133" s="46">
        <v>1</v>
      </c>
      <c r="F133" s="56">
        <v>9890</v>
      </c>
      <c r="G133" s="56">
        <v>9890</v>
      </c>
      <c r="H133" s="56">
        <v>9400</v>
      </c>
      <c r="I133" s="56">
        <v>9400</v>
      </c>
      <c r="J133" s="56">
        <v>11080</v>
      </c>
      <c r="K133" s="56">
        <f>Table001__Page_2_381017[[#This Row],[UNIT COST  ]]*Table001__Page_2_381017[[#This Row],[ESTIMATED QUANTITY]]</f>
        <v>11080</v>
      </c>
    </row>
    <row r="134" spans="1:11" ht="15" customHeight="1" x14ac:dyDescent="0.35">
      <c r="A134" s="46">
        <v>22</v>
      </c>
      <c r="B134" s="16" t="s">
        <v>627</v>
      </c>
      <c r="C134" s="45" t="s">
        <v>628</v>
      </c>
      <c r="D134" s="16" t="s">
        <v>478</v>
      </c>
      <c r="E134" s="46">
        <v>3</v>
      </c>
      <c r="F134" s="56">
        <v>9890</v>
      </c>
      <c r="G134" s="56">
        <v>29670</v>
      </c>
      <c r="H134" s="56">
        <v>9400</v>
      </c>
      <c r="I134" s="56">
        <v>28200</v>
      </c>
      <c r="J134" s="56">
        <v>8380</v>
      </c>
      <c r="K134" s="56">
        <f>Table001__Page_2_381017[[#This Row],[UNIT COST  ]]*Table001__Page_2_381017[[#This Row],[ESTIMATED QUANTITY]]</f>
        <v>25140</v>
      </c>
    </row>
    <row r="135" spans="1:11" ht="15" customHeight="1" x14ac:dyDescent="0.35">
      <c r="A135" s="46">
        <v>23</v>
      </c>
      <c r="B135" s="16" t="s">
        <v>629</v>
      </c>
      <c r="C135" s="45" t="s">
        <v>630</v>
      </c>
      <c r="D135" s="16" t="s">
        <v>478</v>
      </c>
      <c r="E135" s="46">
        <v>2</v>
      </c>
      <c r="F135" s="56">
        <v>4255</v>
      </c>
      <c r="G135" s="56">
        <v>8510</v>
      </c>
      <c r="H135" s="56">
        <v>1600</v>
      </c>
      <c r="I135" s="56">
        <v>3200</v>
      </c>
      <c r="J135" s="56">
        <v>1390</v>
      </c>
      <c r="K135" s="56">
        <f>Table001__Page_2_381017[[#This Row],[UNIT COST  ]]*Table001__Page_2_381017[[#This Row],[ESTIMATED QUANTITY]]</f>
        <v>2780</v>
      </c>
    </row>
    <row r="136" spans="1:11" ht="15" customHeight="1" x14ac:dyDescent="0.35">
      <c r="A136" s="46">
        <v>24</v>
      </c>
      <c r="B136" s="16" t="s">
        <v>631</v>
      </c>
      <c r="C136" s="45" t="s">
        <v>632</v>
      </c>
      <c r="D136" s="16" t="s">
        <v>478</v>
      </c>
      <c r="E136" s="46">
        <v>2</v>
      </c>
      <c r="F136" s="56">
        <v>5175</v>
      </c>
      <c r="G136" s="56">
        <v>10350</v>
      </c>
      <c r="H136" s="56">
        <v>3600</v>
      </c>
      <c r="I136" s="56">
        <v>7200</v>
      </c>
      <c r="J136" s="56">
        <v>3920</v>
      </c>
      <c r="K136" s="56">
        <f>Table001__Page_2_381017[[#This Row],[UNIT COST  ]]*Table001__Page_2_381017[[#This Row],[ESTIMATED QUANTITY]]</f>
        <v>7840</v>
      </c>
    </row>
    <row r="137" spans="1:11" ht="15" customHeight="1" x14ac:dyDescent="0.35">
      <c r="A137" s="46">
        <v>25</v>
      </c>
      <c r="B137" s="16" t="s">
        <v>633</v>
      </c>
      <c r="C137" s="45" t="s">
        <v>634</v>
      </c>
      <c r="D137" s="16" t="s">
        <v>28</v>
      </c>
      <c r="E137" s="46">
        <v>1</v>
      </c>
      <c r="F137" s="56">
        <v>138000</v>
      </c>
      <c r="G137" s="56">
        <v>138000</v>
      </c>
      <c r="H137" s="56">
        <v>127000</v>
      </c>
      <c r="I137" s="56">
        <v>127000</v>
      </c>
      <c r="J137" s="56">
        <v>99835</v>
      </c>
      <c r="K137" s="56">
        <f>Table001__Page_2_381017[[#This Row],[UNIT COST  ]]*Table001__Page_2_381017[[#This Row],[ESTIMATED QUANTITY]]</f>
        <v>99835</v>
      </c>
    </row>
    <row r="138" spans="1:11" ht="15" customHeight="1" x14ac:dyDescent="0.35">
      <c r="A138" s="46">
        <v>26</v>
      </c>
      <c r="B138" s="16" t="s">
        <v>635</v>
      </c>
      <c r="C138" s="45" t="s">
        <v>636</v>
      </c>
      <c r="D138" s="16" t="s">
        <v>407</v>
      </c>
      <c r="E138" s="46">
        <v>500</v>
      </c>
      <c r="F138" s="57">
        <v>58</v>
      </c>
      <c r="G138" s="56">
        <v>29000</v>
      </c>
      <c r="H138" s="57">
        <v>55</v>
      </c>
      <c r="I138" s="56">
        <v>27500</v>
      </c>
      <c r="J138" s="57">
        <v>32.5</v>
      </c>
      <c r="K138" s="56">
        <f>Table001__Page_2_381017[[#This Row],[UNIT COST  ]]*Table001__Page_2_381017[[#This Row],[ESTIMATED QUANTITY]]</f>
        <v>16250</v>
      </c>
    </row>
    <row r="139" spans="1:11" ht="15" customHeight="1" x14ac:dyDescent="0.35">
      <c r="A139" s="46">
        <v>27</v>
      </c>
      <c r="B139" s="16" t="s">
        <v>637</v>
      </c>
      <c r="C139" s="45" t="s">
        <v>638</v>
      </c>
      <c r="D139" s="16" t="s">
        <v>478</v>
      </c>
      <c r="E139" s="46">
        <v>60</v>
      </c>
      <c r="F139" s="57">
        <v>460</v>
      </c>
      <c r="G139" s="56">
        <v>27600</v>
      </c>
      <c r="H139" s="57">
        <v>233</v>
      </c>
      <c r="I139" s="56">
        <v>13980</v>
      </c>
      <c r="J139" s="57">
        <v>130</v>
      </c>
      <c r="K139" s="56">
        <f>Table001__Page_2_381017[[#This Row],[UNIT COST  ]]*Table001__Page_2_381017[[#This Row],[ESTIMATED QUANTITY]]</f>
        <v>7800</v>
      </c>
    </row>
    <row r="140" spans="1:11" ht="15" customHeight="1" x14ac:dyDescent="0.35">
      <c r="A140" s="46">
        <v>28</v>
      </c>
      <c r="B140" s="16" t="s">
        <v>639</v>
      </c>
      <c r="C140" s="45" t="s">
        <v>679</v>
      </c>
      <c r="D140" s="16" t="s">
        <v>407</v>
      </c>
      <c r="E140" s="46">
        <v>300</v>
      </c>
      <c r="F140" s="57">
        <v>75</v>
      </c>
      <c r="G140" s="56">
        <v>22500</v>
      </c>
      <c r="H140" s="57">
        <v>225</v>
      </c>
      <c r="I140" s="56">
        <v>67500</v>
      </c>
      <c r="J140" s="57">
        <v>51</v>
      </c>
      <c r="K140" s="56">
        <f>Table001__Page_2_381017[[#This Row],[UNIT COST  ]]*Table001__Page_2_381017[[#This Row],[ESTIMATED QUANTITY]]</f>
        <v>15300</v>
      </c>
    </row>
    <row r="141" spans="1:11" ht="15" customHeight="1" x14ac:dyDescent="0.35">
      <c r="A141" s="46">
        <v>29</v>
      </c>
      <c r="B141" s="16" t="s">
        <v>641</v>
      </c>
      <c r="C141" s="45" t="s">
        <v>642</v>
      </c>
      <c r="D141" s="16" t="s">
        <v>407</v>
      </c>
      <c r="E141" s="46">
        <v>165</v>
      </c>
      <c r="F141" s="57">
        <v>167</v>
      </c>
      <c r="G141" s="56">
        <v>27555</v>
      </c>
      <c r="H141" s="57">
        <v>190</v>
      </c>
      <c r="I141" s="56">
        <v>31350</v>
      </c>
      <c r="J141" s="57">
        <v>153</v>
      </c>
      <c r="K141" s="56">
        <f>Table001__Page_2_381017[[#This Row],[UNIT COST  ]]*Table001__Page_2_381017[[#This Row],[ESTIMATED QUANTITY]]</f>
        <v>25245</v>
      </c>
    </row>
    <row r="142" spans="1:11" ht="15" customHeight="1" x14ac:dyDescent="0.35">
      <c r="A142" s="46">
        <v>30</v>
      </c>
      <c r="B142" s="16" t="s">
        <v>643</v>
      </c>
      <c r="C142" s="45" t="s">
        <v>644</v>
      </c>
      <c r="D142" s="16" t="s">
        <v>428</v>
      </c>
      <c r="E142" s="106">
        <v>439.25</v>
      </c>
      <c r="F142" s="57">
        <v>69</v>
      </c>
      <c r="G142" s="56">
        <v>30308.25</v>
      </c>
      <c r="H142" s="57">
        <v>113</v>
      </c>
      <c r="I142" s="56">
        <v>49635.25</v>
      </c>
      <c r="J142" s="57">
        <v>149</v>
      </c>
      <c r="K142" s="56">
        <f>Table001__Page_2_381017[[#This Row],[UNIT COST  ]]*Table001__Page_2_381017[[#This Row],[ESTIMATED QUANTITY]]</f>
        <v>65448.25</v>
      </c>
    </row>
    <row r="143" spans="1:11" ht="15" customHeight="1" x14ac:dyDescent="0.35">
      <c r="A143" s="46">
        <v>31</v>
      </c>
      <c r="B143" s="16" t="s">
        <v>645</v>
      </c>
      <c r="C143" s="45" t="s">
        <v>646</v>
      </c>
      <c r="D143" s="16" t="s">
        <v>28</v>
      </c>
      <c r="E143" s="46">
        <v>1</v>
      </c>
      <c r="F143" s="56">
        <v>23000</v>
      </c>
      <c r="G143" s="56">
        <v>23000</v>
      </c>
      <c r="H143" s="56">
        <v>21000</v>
      </c>
      <c r="I143" s="56">
        <v>21000</v>
      </c>
      <c r="J143" s="56">
        <v>32720</v>
      </c>
      <c r="K143" s="56">
        <f>Table001__Page_2_381017[[#This Row],[UNIT COST  ]]*Table001__Page_2_381017[[#This Row],[ESTIMATED QUANTITY]]</f>
        <v>32720</v>
      </c>
    </row>
    <row r="144" spans="1:11" ht="15" customHeight="1" x14ac:dyDescent="0.35">
      <c r="A144" s="46">
        <v>32</v>
      </c>
      <c r="B144" s="16" t="s">
        <v>647</v>
      </c>
      <c r="C144" s="45" t="s">
        <v>648</v>
      </c>
      <c r="D144" s="16" t="s">
        <v>478</v>
      </c>
      <c r="E144" s="46">
        <v>5</v>
      </c>
      <c r="F144" s="57">
        <v>575</v>
      </c>
      <c r="G144" s="56">
        <v>2875</v>
      </c>
      <c r="H144" s="57">
        <v>293</v>
      </c>
      <c r="I144" s="56">
        <v>1465</v>
      </c>
      <c r="J144" s="57">
        <v>259</v>
      </c>
      <c r="K144" s="56">
        <f>Table001__Page_2_381017[[#This Row],[UNIT COST  ]]*Table001__Page_2_381017[[#This Row],[ESTIMATED QUANTITY]]</f>
        <v>1295</v>
      </c>
    </row>
    <row r="145" spans="1:11" ht="15" customHeight="1" x14ac:dyDescent="0.35">
      <c r="A145" s="46">
        <v>33</v>
      </c>
      <c r="B145" s="16" t="s">
        <v>649</v>
      </c>
      <c r="C145" s="45" t="s">
        <v>650</v>
      </c>
      <c r="D145" s="16" t="s">
        <v>478</v>
      </c>
      <c r="E145" s="46">
        <v>3</v>
      </c>
      <c r="F145" s="57">
        <v>230</v>
      </c>
      <c r="G145" s="57">
        <v>690</v>
      </c>
      <c r="H145" s="57">
        <v>147</v>
      </c>
      <c r="I145" s="57">
        <v>441</v>
      </c>
      <c r="J145" s="57">
        <v>369</v>
      </c>
      <c r="K145" s="56">
        <f>Table001__Page_2_381017[[#This Row],[UNIT COST  ]]*Table001__Page_2_381017[[#This Row],[ESTIMATED QUANTITY]]</f>
        <v>1107</v>
      </c>
    </row>
    <row r="146" spans="1:11" ht="15" customHeight="1" x14ac:dyDescent="0.35">
      <c r="A146" s="46">
        <v>34</v>
      </c>
      <c r="B146" s="16" t="s">
        <v>651</v>
      </c>
      <c r="C146" s="45" t="s">
        <v>652</v>
      </c>
      <c r="D146" s="16" t="s">
        <v>407</v>
      </c>
      <c r="E146" s="46">
        <v>260</v>
      </c>
      <c r="F146" s="57">
        <v>121</v>
      </c>
      <c r="G146" s="56">
        <v>31460</v>
      </c>
      <c r="H146" s="57">
        <v>90</v>
      </c>
      <c r="I146" s="56">
        <v>23400</v>
      </c>
      <c r="J146" s="57">
        <v>79</v>
      </c>
      <c r="K146" s="56">
        <f>Table001__Page_2_381017[[#This Row],[UNIT COST  ]]*Table001__Page_2_381017[[#This Row],[ESTIMATED QUANTITY]]</f>
        <v>20540</v>
      </c>
    </row>
    <row r="147" spans="1:11" ht="15" customHeight="1" x14ac:dyDescent="0.35">
      <c r="A147" s="46">
        <v>35</v>
      </c>
      <c r="B147" s="16" t="s">
        <v>653</v>
      </c>
      <c r="C147" s="45" t="s">
        <v>654</v>
      </c>
      <c r="D147" s="16" t="s">
        <v>478</v>
      </c>
      <c r="E147" s="46">
        <v>2</v>
      </c>
      <c r="F147" s="56">
        <v>13800</v>
      </c>
      <c r="G147" s="56">
        <v>27600</v>
      </c>
      <c r="H147" s="56">
        <v>11700</v>
      </c>
      <c r="I147" s="56">
        <v>23400</v>
      </c>
      <c r="J147" s="56">
        <v>10350</v>
      </c>
      <c r="K147" s="56">
        <f>Table001__Page_2_381017[[#This Row],[UNIT COST  ]]*Table001__Page_2_381017[[#This Row],[ESTIMATED QUANTITY]]</f>
        <v>20700</v>
      </c>
    </row>
    <row r="148" spans="1:11" ht="15" customHeight="1" x14ac:dyDescent="0.35">
      <c r="A148" s="46">
        <v>36</v>
      </c>
      <c r="B148" s="16" t="s">
        <v>655</v>
      </c>
      <c r="C148" s="45" t="s">
        <v>656</v>
      </c>
      <c r="D148" s="16" t="s">
        <v>478</v>
      </c>
      <c r="E148" s="46">
        <v>2</v>
      </c>
      <c r="F148" s="56">
        <v>11500</v>
      </c>
      <c r="G148" s="56">
        <v>23000</v>
      </c>
      <c r="H148" s="56">
        <v>4100</v>
      </c>
      <c r="I148" s="56">
        <v>8200</v>
      </c>
      <c r="J148" s="56">
        <v>3630</v>
      </c>
      <c r="K148" s="56">
        <f>Table001__Page_2_381017[[#This Row],[UNIT COST  ]]*Table001__Page_2_381017[[#This Row],[ESTIMATED QUANTITY]]</f>
        <v>7260</v>
      </c>
    </row>
    <row r="149" spans="1:11" ht="15" customHeight="1" x14ac:dyDescent="0.35">
      <c r="A149" s="46">
        <v>37</v>
      </c>
      <c r="B149" s="16" t="s">
        <v>657</v>
      </c>
      <c r="C149" s="45" t="s">
        <v>658</v>
      </c>
      <c r="D149" s="16" t="s">
        <v>478</v>
      </c>
      <c r="E149" s="46">
        <v>2</v>
      </c>
      <c r="F149" s="57">
        <v>575</v>
      </c>
      <c r="G149" s="56">
        <v>1150</v>
      </c>
      <c r="H149" s="57">
        <v>366</v>
      </c>
      <c r="I149" s="57">
        <v>732</v>
      </c>
      <c r="J149" s="57">
        <v>777</v>
      </c>
      <c r="K149" s="56">
        <f>Table001__Page_2_381017[[#This Row],[UNIT COST  ]]*Table001__Page_2_381017[[#This Row],[ESTIMATED QUANTITY]]</f>
        <v>1554</v>
      </c>
    </row>
    <row r="150" spans="1:11" ht="15" customHeight="1" x14ac:dyDescent="0.35">
      <c r="A150" s="46">
        <v>38</v>
      </c>
      <c r="B150" s="16" t="s">
        <v>659</v>
      </c>
      <c r="C150" s="45" t="s">
        <v>660</v>
      </c>
      <c r="D150" s="16" t="s">
        <v>407</v>
      </c>
      <c r="E150" s="48">
        <v>1100</v>
      </c>
      <c r="F150" s="57">
        <v>2</v>
      </c>
      <c r="G150" s="56">
        <v>2200</v>
      </c>
      <c r="H150" s="57">
        <v>1</v>
      </c>
      <c r="I150" s="56">
        <v>1100</v>
      </c>
      <c r="J150" s="57">
        <v>0.65</v>
      </c>
      <c r="K150" s="57">
        <f>Table001__Page_2_381017[[#This Row],[UNIT COST  ]]*Table001__Page_2_381017[[#This Row],[ESTIMATED QUANTITY]]</f>
        <v>715</v>
      </c>
    </row>
    <row r="151" spans="1:11" ht="15" customHeight="1" x14ac:dyDescent="0.35">
      <c r="A151" s="46">
        <v>39</v>
      </c>
      <c r="B151" s="16" t="s">
        <v>661</v>
      </c>
      <c r="C151" s="45" t="s">
        <v>662</v>
      </c>
      <c r="D151" s="16" t="s">
        <v>478</v>
      </c>
      <c r="E151" s="46">
        <v>3</v>
      </c>
      <c r="F151" s="57">
        <v>575</v>
      </c>
      <c r="G151" s="56">
        <v>1725</v>
      </c>
      <c r="H151" s="57">
        <v>125</v>
      </c>
      <c r="I151" s="57">
        <v>375</v>
      </c>
      <c r="J151" s="57">
        <v>155</v>
      </c>
      <c r="K151" s="57">
        <f>Table001__Page_2_381017[[#This Row],[UNIT COST  ]]*Table001__Page_2_381017[[#This Row],[ESTIMATED QUANTITY]]</f>
        <v>465</v>
      </c>
    </row>
    <row r="152" spans="1:11" ht="15" customHeight="1" x14ac:dyDescent="0.35">
      <c r="A152" s="46">
        <v>40</v>
      </c>
      <c r="B152" s="16" t="s">
        <v>663</v>
      </c>
      <c r="C152" s="45" t="s">
        <v>664</v>
      </c>
      <c r="D152" s="16" t="s">
        <v>478</v>
      </c>
      <c r="E152" s="46">
        <v>4</v>
      </c>
      <c r="F152" s="57">
        <v>288</v>
      </c>
      <c r="G152" s="56">
        <v>1152</v>
      </c>
      <c r="H152" s="57">
        <v>73</v>
      </c>
      <c r="I152" s="57">
        <v>292</v>
      </c>
      <c r="J152" s="57">
        <v>130</v>
      </c>
      <c r="K152" s="57">
        <f>Table001__Page_2_381017[[#This Row],[UNIT COST  ]]*Table001__Page_2_381017[[#This Row],[ESTIMATED QUANTITY]]</f>
        <v>520</v>
      </c>
    </row>
    <row r="153" spans="1:11" ht="15" customHeight="1" x14ac:dyDescent="0.35">
      <c r="A153" s="46">
        <v>41</v>
      </c>
      <c r="B153" s="16" t="s">
        <v>665</v>
      </c>
      <c r="C153" s="45" t="s">
        <v>666</v>
      </c>
      <c r="D153" s="16" t="s">
        <v>412</v>
      </c>
      <c r="E153" s="46">
        <v>40</v>
      </c>
      <c r="F153" s="57">
        <v>35</v>
      </c>
      <c r="G153" s="56">
        <v>1400</v>
      </c>
      <c r="H153" s="57">
        <v>19</v>
      </c>
      <c r="I153" s="57">
        <v>760</v>
      </c>
      <c r="J153" s="57">
        <v>16.2</v>
      </c>
      <c r="K153" s="57">
        <f>Table001__Page_2_381017[[#This Row],[UNIT COST  ]]*Table001__Page_2_381017[[#This Row],[ESTIMATED QUANTITY]]</f>
        <v>648</v>
      </c>
    </row>
    <row r="154" spans="1:11" ht="15" customHeight="1" x14ac:dyDescent="0.35">
      <c r="A154" s="46">
        <v>42</v>
      </c>
      <c r="B154" s="16" t="s">
        <v>667</v>
      </c>
      <c r="C154" s="45" t="s">
        <v>668</v>
      </c>
      <c r="D154" s="16" t="s">
        <v>478</v>
      </c>
      <c r="E154" s="46">
        <v>6</v>
      </c>
      <c r="F154" s="57">
        <v>138</v>
      </c>
      <c r="G154" s="57">
        <v>828</v>
      </c>
      <c r="H154" s="57">
        <v>270</v>
      </c>
      <c r="I154" s="56">
        <v>1620</v>
      </c>
      <c r="J154" s="57">
        <v>240</v>
      </c>
      <c r="K154" s="56">
        <f>Table001__Page_2_381017[[#This Row],[UNIT COST  ]]*Table001__Page_2_381017[[#This Row],[ESTIMATED QUANTITY]]</f>
        <v>1440</v>
      </c>
    </row>
    <row r="155" spans="1:11" ht="15" customHeight="1" thickBot="1" x14ac:dyDescent="0.4">
      <c r="A155" s="46">
        <v>43</v>
      </c>
      <c r="B155" s="16" t="s">
        <v>669</v>
      </c>
      <c r="C155" s="45" t="s">
        <v>670</v>
      </c>
      <c r="D155" s="16" t="s">
        <v>412</v>
      </c>
      <c r="E155" s="46">
        <v>280</v>
      </c>
      <c r="F155" s="56">
        <v>69</v>
      </c>
      <c r="G155" s="56">
        <f>Table001__Page_2_381017[[#This Row],[UNIT COST]]*Table001__Page_2_381017[[#This Row],[ESTIMATED QUANTITY]]</f>
        <v>19320</v>
      </c>
      <c r="H155" s="56">
        <v>1385.48199767713</v>
      </c>
      <c r="I155" s="56">
        <v>43400</v>
      </c>
      <c r="J155" s="57">
        <v>27.8</v>
      </c>
      <c r="K155" s="56">
        <f>Table001__Page_2_381017[[#This Row],[UNIT COST  ]]*Table001__Page_2_381017[[#This Row],[ESTIMATED QUANTITY]]</f>
        <v>7784</v>
      </c>
    </row>
    <row r="156" spans="1:11" ht="16" thickBot="1" x14ac:dyDescent="0.4">
      <c r="A156" s="21"/>
      <c r="B156" s="29"/>
      <c r="C156" s="21"/>
      <c r="D156" s="178" t="s">
        <v>681</v>
      </c>
      <c r="E156" s="179"/>
      <c r="F156" s="17"/>
      <c r="G156" s="17">
        <f>SUM(G113:G155)</f>
        <v>1538779.25</v>
      </c>
      <c r="H156" s="17"/>
      <c r="I156" s="17">
        <f>SUM(I113:I155)</f>
        <v>1465654.25</v>
      </c>
      <c r="J156" s="17"/>
      <c r="K156" s="18">
        <f>SUM(K113:K155)</f>
        <v>1680047.45</v>
      </c>
    </row>
    <row r="157" spans="1:11" x14ac:dyDescent="0.35">
      <c r="A157" s="14"/>
      <c r="B157" s="29"/>
      <c r="C157" s="14"/>
      <c r="D157" s="14"/>
      <c r="E157" s="16"/>
      <c r="F157" s="14"/>
      <c r="G157" s="14"/>
      <c r="H157" s="14"/>
      <c r="I157" s="14"/>
      <c r="J157" s="14"/>
      <c r="K157" s="14"/>
    </row>
    <row r="158" spans="1:11" x14ac:dyDescent="0.35">
      <c r="A158" s="14"/>
      <c r="B158" s="29"/>
      <c r="C158" s="14"/>
      <c r="D158" s="188" t="s">
        <v>456</v>
      </c>
      <c r="E158" s="189"/>
      <c r="F158" s="36"/>
      <c r="G158" s="161" t="s">
        <v>457</v>
      </c>
      <c r="H158" s="39"/>
      <c r="I158" s="38">
        <f>I156-G156</f>
        <v>-73125</v>
      </c>
      <c r="J158" s="39"/>
      <c r="K158" s="40">
        <f>K156-G156</f>
        <v>141268.19999999995</v>
      </c>
    </row>
    <row r="160" spans="1:11" x14ac:dyDescent="0.35">
      <c r="A160" s="104"/>
      <c r="E160" s="190" t="s">
        <v>458</v>
      </c>
      <c r="F160" s="191"/>
      <c r="G160" s="37"/>
      <c r="H160" s="41"/>
      <c r="I160" s="102">
        <f>I158/G156</f>
        <v>-4.7521436229400679E-2</v>
      </c>
      <c r="J160" s="41"/>
      <c r="K160" s="103">
        <f>K158/G156</f>
        <v>9.1805371043312392E-2</v>
      </c>
    </row>
    <row r="161" spans="1:11" ht="15" thickBot="1" x14ac:dyDescent="0.4"/>
    <row r="162" spans="1:11" ht="16" thickBot="1" x14ac:dyDescent="0.4">
      <c r="A162" s="173" t="s">
        <v>682</v>
      </c>
      <c r="B162" s="174"/>
      <c r="C162" s="174"/>
      <c r="D162" s="174"/>
      <c r="E162" s="175"/>
      <c r="F162" s="173" t="s">
        <v>12</v>
      </c>
      <c r="G162" s="175"/>
      <c r="H162" s="173" t="s">
        <v>592</v>
      </c>
      <c r="I162" s="175"/>
      <c r="J162" s="173" t="s">
        <v>593</v>
      </c>
      <c r="K162" s="175"/>
    </row>
    <row r="163" spans="1:11" x14ac:dyDescent="0.35">
      <c r="A163" s="23" t="s">
        <v>15</v>
      </c>
      <c r="B163" s="23" t="s">
        <v>396</v>
      </c>
      <c r="C163" s="23" t="s">
        <v>17</v>
      </c>
      <c r="D163" s="23" t="s">
        <v>18</v>
      </c>
      <c r="E163" s="23" t="s">
        <v>19</v>
      </c>
      <c r="F163" s="23" t="s">
        <v>20</v>
      </c>
      <c r="G163" s="23" t="s">
        <v>21</v>
      </c>
      <c r="H163" s="23" t="s">
        <v>397</v>
      </c>
      <c r="I163" s="23" t="s">
        <v>398</v>
      </c>
      <c r="J163" s="23" t="s">
        <v>399</v>
      </c>
      <c r="K163" s="23" t="s">
        <v>400</v>
      </c>
    </row>
    <row r="164" spans="1:11" ht="15" customHeight="1" x14ac:dyDescent="0.35">
      <c r="A164" s="46">
        <v>1</v>
      </c>
      <c r="B164" s="16" t="s">
        <v>594</v>
      </c>
      <c r="C164" s="45" t="s">
        <v>595</v>
      </c>
      <c r="D164" s="16" t="s">
        <v>28</v>
      </c>
      <c r="E164" s="46">
        <v>1</v>
      </c>
      <c r="F164" s="56">
        <v>10000</v>
      </c>
      <c r="G164" s="56">
        <v>10000</v>
      </c>
      <c r="H164" s="56">
        <v>4000</v>
      </c>
      <c r="I164" s="56">
        <v>4000</v>
      </c>
      <c r="J164" s="56">
        <v>5600</v>
      </c>
      <c r="K164" s="56">
        <f>Table001__Page_2_38101720[[#This Row],[UNIT COST  ]]*Table001__Page_2_38101720[[#This Row],[ESTIMATED QUANTITY]]</f>
        <v>5600</v>
      </c>
    </row>
    <row r="165" spans="1:11" ht="15" customHeight="1" x14ac:dyDescent="0.35">
      <c r="A165" s="46">
        <v>2</v>
      </c>
      <c r="B165" s="105" t="s">
        <v>26</v>
      </c>
      <c r="C165" s="45" t="s">
        <v>598</v>
      </c>
      <c r="D165" s="16" t="s">
        <v>28</v>
      </c>
      <c r="E165" s="46">
        <v>1</v>
      </c>
      <c r="F165" s="56">
        <v>13300</v>
      </c>
      <c r="G165" s="56">
        <v>13300</v>
      </c>
      <c r="H165" s="56">
        <v>13200</v>
      </c>
      <c r="I165" s="56">
        <v>13200</v>
      </c>
      <c r="J165" s="56">
        <v>13495</v>
      </c>
      <c r="K165" s="56">
        <f>Table001__Page_2_38101720[[#This Row],[UNIT COST  ]]*Table001__Page_2_38101720[[#This Row],[ESTIMATED QUANTITY]]</f>
        <v>13495</v>
      </c>
    </row>
    <row r="166" spans="1:11" x14ac:dyDescent="0.35">
      <c r="A166" s="46">
        <v>3</v>
      </c>
      <c r="B166" s="105" t="s">
        <v>599</v>
      </c>
      <c r="C166" s="45" t="s">
        <v>600</v>
      </c>
      <c r="D166" s="16" t="s">
        <v>28</v>
      </c>
      <c r="E166" s="46">
        <v>1</v>
      </c>
      <c r="F166" s="56">
        <v>10000</v>
      </c>
      <c r="G166" s="56">
        <v>10000</v>
      </c>
      <c r="H166" s="56">
        <v>1000</v>
      </c>
      <c r="I166" s="56">
        <v>1000</v>
      </c>
      <c r="J166" s="57">
        <v>987</v>
      </c>
      <c r="K166" s="57">
        <f>Table001__Page_2_38101720[[#This Row],[UNIT COST  ]]*Table001__Page_2_38101720[[#This Row],[ESTIMATED QUANTITY]]</f>
        <v>987</v>
      </c>
    </row>
    <row r="167" spans="1:11" ht="15" customHeight="1" x14ac:dyDescent="0.35">
      <c r="A167" s="46">
        <v>4</v>
      </c>
      <c r="B167" s="105" t="s">
        <v>601</v>
      </c>
      <c r="C167" s="45" t="s">
        <v>602</v>
      </c>
      <c r="D167" s="16" t="s">
        <v>28</v>
      </c>
      <c r="E167" s="46">
        <v>1</v>
      </c>
      <c r="F167" s="56">
        <v>5000</v>
      </c>
      <c r="G167" s="56">
        <v>5000</v>
      </c>
      <c r="H167" s="57">
        <v>79</v>
      </c>
      <c r="I167" s="57">
        <v>79</v>
      </c>
      <c r="J167" s="56">
        <v>1510</v>
      </c>
      <c r="K167" s="56">
        <f>Table001__Page_2_38101720[[#This Row],[UNIT COST  ]]*Table001__Page_2_38101720[[#This Row],[ESTIMATED QUANTITY]]</f>
        <v>1510</v>
      </c>
    </row>
    <row r="168" spans="1:11" ht="15" customHeight="1" x14ac:dyDescent="0.35">
      <c r="A168" s="46">
        <v>5</v>
      </c>
      <c r="B168" s="16" t="s">
        <v>683</v>
      </c>
      <c r="C168" s="45" t="s">
        <v>684</v>
      </c>
      <c r="D168" s="16" t="s">
        <v>28</v>
      </c>
      <c r="E168" s="46">
        <v>1</v>
      </c>
      <c r="F168" s="56">
        <v>18000</v>
      </c>
      <c r="G168" s="56">
        <v>18000</v>
      </c>
      <c r="H168" s="56">
        <v>13900</v>
      </c>
      <c r="I168" s="56">
        <v>13900</v>
      </c>
      <c r="J168" s="56">
        <v>3500</v>
      </c>
      <c r="K168" s="56">
        <f>Table001__Page_2_38101720[[#This Row],[UNIT COST  ]]*Table001__Page_2_38101720[[#This Row],[ESTIMATED QUANTITY]]</f>
        <v>3500</v>
      </c>
    </row>
    <row r="169" spans="1:11" ht="15" customHeight="1" x14ac:dyDescent="0.35">
      <c r="A169" s="46">
        <v>6</v>
      </c>
      <c r="B169" s="105" t="s">
        <v>685</v>
      </c>
      <c r="C169" s="45" t="s">
        <v>686</v>
      </c>
      <c r="D169" s="16" t="s">
        <v>412</v>
      </c>
      <c r="E169" s="48">
        <v>2274</v>
      </c>
      <c r="F169" s="57">
        <v>10</v>
      </c>
      <c r="G169" s="56">
        <v>22740</v>
      </c>
      <c r="H169" s="57">
        <v>10</v>
      </c>
      <c r="I169" s="56">
        <v>22740</v>
      </c>
      <c r="J169" s="57">
        <v>7.5</v>
      </c>
      <c r="K169" s="56">
        <f>Table001__Page_2_38101720[[#This Row],[UNIT COST  ]]*Table001__Page_2_38101720[[#This Row],[ESTIMATED QUANTITY]]</f>
        <v>17055</v>
      </c>
    </row>
    <row r="170" spans="1:11" ht="15" customHeight="1" x14ac:dyDescent="0.35">
      <c r="A170" s="46">
        <v>7</v>
      </c>
      <c r="B170" s="16" t="s">
        <v>617</v>
      </c>
      <c r="C170" s="45" t="s">
        <v>618</v>
      </c>
      <c r="D170" s="16" t="s">
        <v>446</v>
      </c>
      <c r="E170" s="46">
        <v>310</v>
      </c>
      <c r="F170" s="57">
        <v>6</v>
      </c>
      <c r="G170" s="56">
        <v>1860</v>
      </c>
      <c r="H170" s="57">
        <v>7</v>
      </c>
      <c r="I170" s="56">
        <v>2170</v>
      </c>
      <c r="J170" s="57">
        <v>6.8</v>
      </c>
      <c r="K170" s="56">
        <f>Table001__Page_2_38101720[[#This Row],[UNIT COST  ]]*Table001__Page_2_38101720[[#This Row],[ESTIMATED QUANTITY]]</f>
        <v>2108</v>
      </c>
    </row>
    <row r="171" spans="1:11" ht="15" customHeight="1" x14ac:dyDescent="0.35">
      <c r="A171" s="46">
        <v>8</v>
      </c>
      <c r="B171" s="16" t="s">
        <v>619</v>
      </c>
      <c r="C171" s="45" t="s">
        <v>620</v>
      </c>
      <c r="D171" s="16" t="s">
        <v>435</v>
      </c>
      <c r="E171" s="46">
        <v>290</v>
      </c>
      <c r="F171" s="57">
        <v>215</v>
      </c>
      <c r="G171" s="56">
        <v>62350</v>
      </c>
      <c r="H171" s="57">
        <v>203</v>
      </c>
      <c r="I171" s="56">
        <v>58870</v>
      </c>
      <c r="J171" s="57">
        <v>182</v>
      </c>
      <c r="K171" s="56">
        <f>Table001__Page_2_38101720[[#This Row],[UNIT COST  ]]*Table001__Page_2_38101720[[#This Row],[ESTIMATED QUANTITY]]</f>
        <v>52780</v>
      </c>
    </row>
    <row r="172" spans="1:11" ht="15" customHeight="1" x14ac:dyDescent="0.35">
      <c r="A172" s="46">
        <v>9</v>
      </c>
      <c r="B172" s="16" t="s">
        <v>647</v>
      </c>
      <c r="C172" s="45" t="s">
        <v>648</v>
      </c>
      <c r="D172" s="16" t="s">
        <v>478</v>
      </c>
      <c r="E172" s="46">
        <v>1</v>
      </c>
      <c r="F172" s="57">
        <v>500</v>
      </c>
      <c r="G172" s="57">
        <v>500</v>
      </c>
      <c r="H172" s="57">
        <v>293</v>
      </c>
      <c r="I172" s="57">
        <v>293</v>
      </c>
      <c r="J172" s="57">
        <v>259</v>
      </c>
      <c r="K172" s="57">
        <f>Table001__Page_2_38101720[[#This Row],[UNIT COST  ]]*Table001__Page_2_38101720[[#This Row],[ESTIMATED QUANTITY]]</f>
        <v>259</v>
      </c>
    </row>
    <row r="173" spans="1:11" ht="15" customHeight="1" x14ac:dyDescent="0.35">
      <c r="A173" s="46">
        <v>10</v>
      </c>
      <c r="B173" s="16" t="s">
        <v>657</v>
      </c>
      <c r="C173" s="45" t="s">
        <v>662</v>
      </c>
      <c r="D173" s="16" t="s">
        <v>478</v>
      </c>
      <c r="E173" s="46">
        <v>1</v>
      </c>
      <c r="F173" s="57">
        <v>500</v>
      </c>
      <c r="G173" s="57">
        <v>500</v>
      </c>
      <c r="H173" s="57">
        <v>125</v>
      </c>
      <c r="I173" s="57">
        <v>125</v>
      </c>
      <c r="J173" s="57">
        <v>155</v>
      </c>
      <c r="K173" s="57">
        <f>Table001__Page_2_38101720[[#This Row],[UNIT COST  ]]*Table001__Page_2_38101720[[#This Row],[ESTIMATED QUANTITY]]</f>
        <v>155</v>
      </c>
    </row>
    <row r="174" spans="1:11" ht="15" customHeight="1" thickBot="1" x14ac:dyDescent="0.4">
      <c r="A174" s="46">
        <v>11</v>
      </c>
      <c r="B174" s="16" t="s">
        <v>659</v>
      </c>
      <c r="C174" s="45" t="s">
        <v>687</v>
      </c>
      <c r="D174" s="16" t="s">
        <v>407</v>
      </c>
      <c r="E174" s="46">
        <v>500</v>
      </c>
      <c r="F174" s="57">
        <v>2.5</v>
      </c>
      <c r="G174" s="56">
        <v>1250</v>
      </c>
      <c r="H174" s="57">
        <v>1.5</v>
      </c>
      <c r="I174" s="57">
        <v>750</v>
      </c>
      <c r="J174" s="57">
        <v>2.6</v>
      </c>
      <c r="K174" s="56">
        <f>Table001__Page_2_38101720[[#This Row],[UNIT COST  ]]*Table001__Page_2_38101720[[#This Row],[ESTIMATED QUANTITY]]</f>
        <v>1300</v>
      </c>
    </row>
    <row r="175" spans="1:11" ht="16" thickBot="1" x14ac:dyDescent="0.4">
      <c r="A175" s="21"/>
      <c r="B175" s="29"/>
      <c r="C175" s="21"/>
      <c r="D175" s="178" t="s">
        <v>688</v>
      </c>
      <c r="E175" s="179"/>
      <c r="F175" s="17"/>
      <c r="G175" s="17">
        <f>SUM(G164:G174)</f>
        <v>145500</v>
      </c>
      <c r="H175" s="17"/>
      <c r="I175" s="17">
        <f>SUM(I164:I174)</f>
        <v>117127</v>
      </c>
      <c r="J175" s="17"/>
      <c r="K175" s="18">
        <f>SUM(K164:K174)</f>
        <v>98749</v>
      </c>
    </row>
    <row r="176" spans="1:11" x14ac:dyDescent="0.35">
      <c r="A176" s="14"/>
      <c r="B176" s="29"/>
      <c r="C176" s="14"/>
      <c r="D176" s="14"/>
      <c r="E176" s="16"/>
      <c r="F176" s="14"/>
      <c r="G176" s="14"/>
      <c r="H176" s="14"/>
      <c r="I176" s="14"/>
      <c r="J176" s="14"/>
      <c r="K176" s="14"/>
    </row>
    <row r="177" spans="1:11" x14ac:dyDescent="0.35">
      <c r="A177" s="14"/>
      <c r="B177" s="29"/>
      <c r="C177" s="14"/>
      <c r="D177" s="188" t="s">
        <v>456</v>
      </c>
      <c r="E177" s="189"/>
      <c r="F177" s="36"/>
      <c r="G177" s="161" t="s">
        <v>457</v>
      </c>
      <c r="H177" s="39"/>
      <c r="I177" s="38">
        <f>I175-G175</f>
        <v>-28373</v>
      </c>
      <c r="J177" s="39"/>
      <c r="K177" s="40">
        <f>K175-G175</f>
        <v>-46751</v>
      </c>
    </row>
    <row r="179" spans="1:11" x14ac:dyDescent="0.35">
      <c r="A179" s="104"/>
      <c r="E179" s="190" t="s">
        <v>458</v>
      </c>
      <c r="F179" s="191"/>
      <c r="G179" s="37"/>
      <c r="H179" s="41"/>
      <c r="I179" s="102">
        <f>I177/G175</f>
        <v>-0.19500343642611684</v>
      </c>
      <c r="J179" s="41"/>
      <c r="K179" s="103">
        <f>K177/G175</f>
        <v>-0.32131271477663231</v>
      </c>
    </row>
  </sheetData>
  <mergeCells count="28">
    <mergeCell ref="H162:I162"/>
    <mergeCell ref="J162:K162"/>
    <mergeCell ref="D175:E175"/>
    <mergeCell ref="E179:F179"/>
    <mergeCell ref="D156:E156"/>
    <mergeCell ref="D158:E158"/>
    <mergeCell ref="E160:F160"/>
    <mergeCell ref="D177:E177"/>
    <mergeCell ref="A162:E162"/>
    <mergeCell ref="F162:G162"/>
    <mergeCell ref="E109:F109"/>
    <mergeCell ref="A111:E111"/>
    <mergeCell ref="F111:G111"/>
    <mergeCell ref="H111:I111"/>
    <mergeCell ref="J111:K111"/>
    <mergeCell ref="H12:I12"/>
    <mergeCell ref="J12:K12"/>
    <mergeCell ref="D54:E54"/>
    <mergeCell ref="D107:E107"/>
    <mergeCell ref="D56:E56"/>
    <mergeCell ref="E58:F58"/>
    <mergeCell ref="A12:E12"/>
    <mergeCell ref="F12:G12"/>
    <mergeCell ref="A61:E61"/>
    <mergeCell ref="F61:G61"/>
    <mergeCell ref="H61:I61"/>
    <mergeCell ref="J61:K61"/>
    <mergeCell ref="D105:E105"/>
  </mergeCells>
  <phoneticPr fontId="10" type="noConversion"/>
  <pageMargins left="0.7" right="0.7" top="0.75" bottom="0.75" header="0.3" footer="0.3"/>
  <pageSetup orientation="portrait" verticalDpi="0" r:id="rId1"/>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9FFDC-AFF8-4180-B54A-205C16A76CD3}">
  <sheetPr codeName="Sheet7"/>
  <dimension ref="A1:P114"/>
  <sheetViews>
    <sheetView zoomScale="70" zoomScaleNormal="70" workbookViewId="0"/>
  </sheetViews>
  <sheetFormatPr defaultRowHeight="14.5" x14ac:dyDescent="0.35"/>
  <cols>
    <col min="1" max="1" width="18.54296875" bestFit="1" customWidth="1"/>
    <col min="2" max="2" width="20.26953125" style="32" bestFit="1" customWidth="1"/>
    <col min="3" max="3" width="58.7265625" bestFit="1" customWidth="1"/>
    <col min="4" max="4" width="13.54296875" bestFit="1" customWidth="1"/>
    <col min="5" max="5" width="34.453125" style="6" bestFit="1" customWidth="1"/>
    <col min="6" max="6" width="20.7265625" bestFit="1" customWidth="1"/>
    <col min="7" max="7" width="29.26953125" bestFit="1" customWidth="1"/>
    <col min="8" max="8" width="22.1796875" bestFit="1" customWidth="1"/>
    <col min="9" max="9" width="30.7265625" bestFit="1" customWidth="1"/>
    <col min="10" max="10" width="22.1796875" bestFit="1" customWidth="1"/>
    <col min="11" max="11" width="30.7265625" bestFit="1" customWidth="1"/>
    <col min="12" max="12" width="22.1796875" bestFit="1" customWidth="1"/>
    <col min="13" max="13" width="30.7265625" bestFit="1" customWidth="1"/>
    <col min="14" max="14" width="22.1796875" bestFit="1" customWidth="1"/>
    <col min="15" max="15" width="30.7265625" bestFit="1" customWidth="1"/>
  </cols>
  <sheetData>
    <row r="1" spans="1:16" x14ac:dyDescent="0.35">
      <c r="A1" s="14"/>
      <c r="B1" s="29"/>
      <c r="C1" s="14"/>
      <c r="D1" s="14"/>
      <c r="E1" s="16"/>
      <c r="F1" s="14"/>
      <c r="G1" s="14"/>
      <c r="H1" s="14"/>
      <c r="I1" s="14"/>
      <c r="J1" s="14"/>
      <c r="K1" s="14"/>
      <c r="L1" s="14"/>
    </row>
    <row r="2" spans="1:16" x14ac:dyDescent="0.35">
      <c r="A2" s="14"/>
      <c r="B2" s="29"/>
      <c r="C2" s="14"/>
      <c r="D2" s="14"/>
      <c r="E2" s="16"/>
      <c r="F2" s="14"/>
      <c r="G2" s="14"/>
      <c r="H2" s="14"/>
      <c r="I2" s="14"/>
      <c r="J2" s="14"/>
      <c r="K2" s="14"/>
      <c r="L2" s="14"/>
    </row>
    <row r="3" spans="1:16" ht="15.5" x14ac:dyDescent="0.35">
      <c r="A3" s="15" t="s">
        <v>0</v>
      </c>
      <c r="B3" s="29" t="s">
        <v>192</v>
      </c>
      <c r="C3" s="14"/>
      <c r="D3" s="15"/>
      <c r="E3" s="16"/>
      <c r="F3" s="14"/>
      <c r="G3" s="14"/>
      <c r="H3" s="14"/>
      <c r="I3" s="14"/>
      <c r="J3" s="14"/>
      <c r="K3" s="14"/>
      <c r="L3" s="14"/>
    </row>
    <row r="4" spans="1:16" ht="15.5" x14ac:dyDescent="0.35">
      <c r="A4" s="15" t="s">
        <v>2</v>
      </c>
      <c r="B4" s="29" t="str">
        <f>VLOOKUP($B$3,DATA!$A$2:$E$80,3)</f>
        <v>Lewisburg</v>
      </c>
      <c r="C4" s="14"/>
      <c r="D4" s="15"/>
      <c r="E4" s="16"/>
      <c r="F4" s="14"/>
      <c r="G4" s="14"/>
      <c r="H4" s="14"/>
      <c r="I4" s="14"/>
      <c r="J4" s="14"/>
      <c r="K4" s="14"/>
      <c r="L4" s="14"/>
    </row>
    <row r="5" spans="1:16" ht="15.5" x14ac:dyDescent="0.35">
      <c r="A5" s="15" t="s">
        <v>3</v>
      </c>
      <c r="B5" s="29" t="str">
        <f>VLOOKUP($B$3,DATA!$A$2:$E$80,4)</f>
        <v>Ellington</v>
      </c>
      <c r="C5" s="14"/>
      <c r="D5" s="15"/>
      <c r="E5" s="16"/>
      <c r="F5" s="14"/>
      <c r="G5" s="14"/>
      <c r="H5" s="14"/>
      <c r="I5" s="14"/>
      <c r="J5" s="14"/>
      <c r="K5" s="14"/>
      <c r="L5" s="14"/>
    </row>
    <row r="6" spans="1:16" ht="15.5" x14ac:dyDescent="0.35">
      <c r="A6" s="15" t="s">
        <v>4</v>
      </c>
      <c r="B6" s="29" t="s">
        <v>350</v>
      </c>
      <c r="C6" s="14"/>
      <c r="D6" s="15"/>
      <c r="E6" s="16"/>
      <c r="F6" s="14"/>
      <c r="G6" s="14"/>
      <c r="H6" s="14"/>
      <c r="I6" s="14"/>
      <c r="J6" s="14"/>
      <c r="K6" s="14"/>
      <c r="L6" s="14"/>
    </row>
    <row r="7" spans="1:16" ht="15.5" x14ac:dyDescent="0.35">
      <c r="A7" s="15" t="s">
        <v>6</v>
      </c>
      <c r="B7" s="155" t="s">
        <v>351</v>
      </c>
      <c r="C7" s="14"/>
      <c r="D7" s="15"/>
      <c r="E7" s="16"/>
      <c r="F7" s="14"/>
      <c r="G7" s="14"/>
      <c r="H7" s="14"/>
      <c r="I7" s="14"/>
      <c r="J7" s="14"/>
      <c r="K7" s="14"/>
      <c r="L7" s="14"/>
    </row>
    <row r="8" spans="1:16" ht="15.5" x14ac:dyDescent="0.35">
      <c r="A8" s="15" t="s">
        <v>8</v>
      </c>
      <c r="B8" s="30">
        <v>45036</v>
      </c>
      <c r="C8" s="14"/>
      <c r="D8" s="15"/>
      <c r="E8" s="33"/>
      <c r="F8" s="14"/>
      <c r="G8" s="14"/>
      <c r="H8" s="14"/>
      <c r="I8" s="14"/>
      <c r="J8" s="14"/>
      <c r="K8" s="14"/>
      <c r="L8" s="14"/>
    </row>
    <row r="9" spans="1:16" ht="15.5" x14ac:dyDescent="0.35">
      <c r="A9" s="15" t="s">
        <v>9</v>
      </c>
      <c r="B9" s="29" t="str">
        <f>VLOOKUP($B$3,DATA!$A$2:$E$80,2)</f>
        <v>Marshall</v>
      </c>
      <c r="C9" s="14"/>
      <c r="D9" s="15"/>
      <c r="E9" s="16"/>
      <c r="F9" s="14"/>
      <c r="G9" s="14"/>
      <c r="H9" s="14"/>
      <c r="I9" s="14"/>
      <c r="J9" s="14"/>
      <c r="K9" s="14"/>
      <c r="L9" s="14"/>
    </row>
    <row r="10" spans="1:16" ht="15.5" x14ac:dyDescent="0.35">
      <c r="A10" s="15" t="s">
        <v>10</v>
      </c>
      <c r="B10" s="14" t="str">
        <f>VLOOKUP($B$3,DATA!$A$2:$E$80,5)</f>
        <v>Middle</v>
      </c>
      <c r="C10" s="14"/>
      <c r="D10" s="15"/>
      <c r="E10" s="16"/>
      <c r="F10" s="14"/>
      <c r="G10" s="14"/>
      <c r="H10" s="14"/>
      <c r="I10" s="14"/>
      <c r="J10" s="14"/>
      <c r="K10" s="14"/>
      <c r="L10" s="14"/>
      <c r="N10" s="51"/>
    </row>
    <row r="11" spans="1:16" ht="16" thickBot="1" x14ac:dyDescent="0.4">
      <c r="A11" s="15"/>
      <c r="B11" s="29"/>
      <c r="C11" s="14"/>
      <c r="D11" s="15"/>
      <c r="E11" s="16"/>
      <c r="F11" s="14"/>
      <c r="G11" s="14"/>
      <c r="H11" s="14"/>
      <c r="I11" s="14"/>
      <c r="J11" s="14"/>
      <c r="K11" s="14"/>
      <c r="L11" s="14"/>
    </row>
    <row r="12" spans="1:16" ht="16" thickBot="1" x14ac:dyDescent="0.4">
      <c r="A12" s="173" t="s">
        <v>573</v>
      </c>
      <c r="B12" s="174"/>
      <c r="C12" s="174"/>
      <c r="D12" s="174"/>
      <c r="E12" s="175"/>
      <c r="F12" s="173" t="s">
        <v>574</v>
      </c>
      <c r="G12" s="175"/>
      <c r="H12" s="173" t="s">
        <v>575</v>
      </c>
      <c r="I12" s="175"/>
      <c r="J12" s="173" t="s">
        <v>576</v>
      </c>
      <c r="K12" s="175"/>
      <c r="L12" s="173" t="s">
        <v>577</v>
      </c>
      <c r="M12" s="175"/>
      <c r="N12" s="173" t="s">
        <v>578</v>
      </c>
      <c r="O12" s="175"/>
    </row>
    <row r="13" spans="1:16" x14ac:dyDescent="0.35">
      <c r="A13" s="16" t="s">
        <v>15</v>
      </c>
      <c r="B13" s="23" t="s">
        <v>396</v>
      </c>
      <c r="C13" s="16" t="s">
        <v>17</v>
      </c>
      <c r="D13" s="16" t="s">
        <v>18</v>
      </c>
      <c r="E13" s="16" t="s">
        <v>19</v>
      </c>
      <c r="F13" s="16" t="s">
        <v>20</v>
      </c>
      <c r="G13" s="16" t="s">
        <v>21</v>
      </c>
      <c r="H13" s="16" t="s">
        <v>579</v>
      </c>
      <c r="I13" s="16" t="s">
        <v>580</v>
      </c>
      <c r="J13" s="16" t="s">
        <v>22</v>
      </c>
      <c r="K13" s="16" t="s">
        <v>23</v>
      </c>
      <c r="L13" s="16" t="s">
        <v>24</v>
      </c>
      <c r="M13" s="16" t="s">
        <v>25</v>
      </c>
      <c r="N13" s="16" t="s">
        <v>581</v>
      </c>
      <c r="O13" s="16" t="s">
        <v>582</v>
      </c>
      <c r="P13" s="14"/>
    </row>
    <row r="14" spans="1:16" x14ac:dyDescent="0.35">
      <c r="A14" s="46">
        <v>1</v>
      </c>
      <c r="B14" s="23" t="s">
        <v>413</v>
      </c>
      <c r="C14" s="14" t="s">
        <v>414</v>
      </c>
      <c r="D14" s="16" t="s">
        <v>28</v>
      </c>
      <c r="E14" s="46">
        <v>1</v>
      </c>
      <c r="F14" s="56">
        <v>20000</v>
      </c>
      <c r="G14" s="56">
        <v>20000</v>
      </c>
      <c r="H14" s="56">
        <v>5500</v>
      </c>
      <c r="I14" s="56">
        <v>5500</v>
      </c>
      <c r="J14" s="56">
        <v>20400</v>
      </c>
      <c r="K14" s="56">
        <v>20400</v>
      </c>
      <c r="L14" s="56">
        <v>3000</v>
      </c>
      <c r="M14" s="56">
        <v>3000</v>
      </c>
      <c r="N14" s="56">
        <v>31600</v>
      </c>
      <c r="O14" s="56">
        <v>31600</v>
      </c>
      <c r="P14" s="14"/>
    </row>
    <row r="15" spans="1:16" x14ac:dyDescent="0.35">
      <c r="A15" s="46">
        <v>2</v>
      </c>
      <c r="B15" s="23" t="s">
        <v>415</v>
      </c>
      <c r="C15" s="14" t="s">
        <v>583</v>
      </c>
      <c r="D15" s="16" t="s">
        <v>28</v>
      </c>
      <c r="E15" s="46">
        <v>1</v>
      </c>
      <c r="F15" s="56">
        <v>2500</v>
      </c>
      <c r="G15" s="56">
        <v>2500</v>
      </c>
      <c r="H15" s="56">
        <v>5500</v>
      </c>
      <c r="I15" s="56">
        <v>5500</v>
      </c>
      <c r="J15" s="56">
        <v>2000</v>
      </c>
      <c r="K15" s="56">
        <v>2000</v>
      </c>
      <c r="L15" s="56">
        <v>3000</v>
      </c>
      <c r="M15" s="56">
        <v>3000</v>
      </c>
      <c r="N15" s="56">
        <v>6500</v>
      </c>
      <c r="O15" s="56">
        <v>6500</v>
      </c>
      <c r="P15" s="14"/>
    </row>
    <row r="16" spans="1:16" x14ac:dyDescent="0.35">
      <c r="A16" s="46">
        <v>3</v>
      </c>
      <c r="B16" s="23" t="s">
        <v>584</v>
      </c>
      <c r="C16" s="14" t="s">
        <v>585</v>
      </c>
      <c r="D16" s="16" t="s">
        <v>407</v>
      </c>
      <c r="E16" s="48">
        <v>11000</v>
      </c>
      <c r="F16" s="57">
        <v>35</v>
      </c>
      <c r="G16" s="56">
        <v>385000</v>
      </c>
      <c r="H16" s="57">
        <v>27.75</v>
      </c>
      <c r="I16" s="56">
        <v>305250</v>
      </c>
      <c r="J16" s="57">
        <v>31.5</v>
      </c>
      <c r="K16" s="56">
        <v>346500</v>
      </c>
      <c r="L16" s="57">
        <v>33</v>
      </c>
      <c r="M16" s="56">
        <v>363000</v>
      </c>
      <c r="N16" s="57">
        <v>40.25</v>
      </c>
      <c r="O16" s="56">
        <v>442750</v>
      </c>
      <c r="P16" s="14"/>
    </row>
    <row r="17" spans="1:16" x14ac:dyDescent="0.35">
      <c r="A17" s="46">
        <v>4</v>
      </c>
      <c r="B17" s="23" t="s">
        <v>586</v>
      </c>
      <c r="C17" s="14" t="s">
        <v>587</v>
      </c>
      <c r="D17" s="16" t="s">
        <v>478</v>
      </c>
      <c r="E17" s="46">
        <v>7</v>
      </c>
      <c r="F17" s="56">
        <v>2500</v>
      </c>
      <c r="G17" s="56">
        <v>17500</v>
      </c>
      <c r="H17" s="56">
        <v>2055</v>
      </c>
      <c r="I17" s="56">
        <v>14385</v>
      </c>
      <c r="J17" s="56">
        <v>2000</v>
      </c>
      <c r="K17" s="56">
        <v>14000</v>
      </c>
      <c r="L17" s="56">
        <v>2300</v>
      </c>
      <c r="M17" s="56">
        <v>16100</v>
      </c>
      <c r="N17" s="56">
        <v>2400</v>
      </c>
      <c r="O17" s="56">
        <v>16800</v>
      </c>
      <c r="P17" s="14"/>
    </row>
    <row r="18" spans="1:16" x14ac:dyDescent="0.35">
      <c r="A18" s="46">
        <v>5</v>
      </c>
      <c r="B18" s="23" t="s">
        <v>588</v>
      </c>
      <c r="C18" s="14" t="s">
        <v>589</v>
      </c>
      <c r="D18" s="16" t="s">
        <v>407</v>
      </c>
      <c r="E18" s="46">
        <v>40</v>
      </c>
      <c r="F18" s="57">
        <v>50</v>
      </c>
      <c r="G18" s="56">
        <v>2000</v>
      </c>
      <c r="H18" s="57">
        <v>180</v>
      </c>
      <c r="I18" s="56">
        <v>7200</v>
      </c>
      <c r="J18" s="57">
        <v>80</v>
      </c>
      <c r="K18" s="56">
        <v>3200</v>
      </c>
      <c r="L18" s="57">
        <v>100</v>
      </c>
      <c r="M18" s="56">
        <v>4000</v>
      </c>
      <c r="N18" s="57">
        <v>75</v>
      </c>
      <c r="O18" s="56">
        <v>3000</v>
      </c>
      <c r="P18" s="14"/>
    </row>
    <row r="19" spans="1:16" ht="15" thickBot="1" x14ac:dyDescent="0.4">
      <c r="A19" s="46">
        <v>6</v>
      </c>
      <c r="B19" s="23" t="s">
        <v>590</v>
      </c>
      <c r="C19" s="14" t="s">
        <v>450</v>
      </c>
      <c r="D19" s="16" t="s">
        <v>425</v>
      </c>
      <c r="E19" s="46">
        <v>4</v>
      </c>
      <c r="F19" s="56">
        <v>2500</v>
      </c>
      <c r="G19" s="56">
        <v>10000</v>
      </c>
      <c r="H19" s="56">
        <v>2250</v>
      </c>
      <c r="I19" s="56">
        <v>9000</v>
      </c>
      <c r="J19" s="56">
        <v>2000</v>
      </c>
      <c r="K19" s="56">
        <v>8000</v>
      </c>
      <c r="L19" s="56">
        <v>1500</v>
      </c>
      <c r="M19" s="56">
        <v>6000</v>
      </c>
      <c r="N19" s="56">
        <v>2200</v>
      </c>
      <c r="O19" s="56">
        <v>8800</v>
      </c>
      <c r="P19" s="14"/>
    </row>
    <row r="20" spans="1:16" ht="16" thickBot="1" x14ac:dyDescent="0.4">
      <c r="D20" s="178" t="s">
        <v>510</v>
      </c>
      <c r="E20" s="179"/>
      <c r="F20" s="192">
        <f>SUM(G14:G19)</f>
        <v>437000</v>
      </c>
      <c r="G20" s="193"/>
      <c r="H20" s="192">
        <f>SUM(I14:I19)</f>
        <v>346835</v>
      </c>
      <c r="I20" s="193"/>
      <c r="J20" s="192">
        <f>SUM(K14:K19)</f>
        <v>394100</v>
      </c>
      <c r="K20" s="193"/>
      <c r="L20" s="192">
        <f>SUM(M14:M19)</f>
        <v>395100</v>
      </c>
      <c r="M20" s="193"/>
      <c r="N20" s="192">
        <f>SUM(O14:O19)</f>
        <v>509450</v>
      </c>
      <c r="O20" s="193"/>
      <c r="P20" s="14"/>
    </row>
    <row r="21" spans="1:16" ht="16" thickBot="1" x14ac:dyDescent="0.4">
      <c r="D21" s="178" t="s">
        <v>591</v>
      </c>
      <c r="E21" s="179"/>
      <c r="F21" s="194" t="s">
        <v>457</v>
      </c>
      <c r="G21" s="195"/>
      <c r="H21" s="196">
        <f>(H20-F20)/F20</f>
        <v>-0.20632723112128146</v>
      </c>
      <c r="I21" s="197"/>
      <c r="J21" s="196">
        <f>(J20-F20)/F20</f>
        <v>-9.8169336384439365E-2</v>
      </c>
      <c r="K21" s="197"/>
      <c r="L21" s="196">
        <f>(L20-F20)/F20</f>
        <v>-9.5881006864988558E-2</v>
      </c>
      <c r="M21" s="197"/>
      <c r="N21" s="196">
        <f>(N20-F20)/F20</f>
        <v>0.16578947368421051</v>
      </c>
      <c r="O21" s="197"/>
      <c r="P21" s="14"/>
    </row>
    <row r="22" spans="1:16" x14ac:dyDescent="0.35">
      <c r="B22"/>
      <c r="C22" s="14"/>
      <c r="E22"/>
      <c r="J22" s="35"/>
    </row>
    <row r="23" spans="1:16" x14ac:dyDescent="0.35">
      <c r="B23"/>
      <c r="C23" s="14"/>
      <c r="E23"/>
    </row>
    <row r="24" spans="1:16" x14ac:dyDescent="0.35">
      <c r="B24"/>
      <c r="C24" s="14"/>
      <c r="E24"/>
    </row>
    <row r="25" spans="1:16" x14ac:dyDescent="0.35">
      <c r="B25"/>
      <c r="C25" s="14"/>
      <c r="E25"/>
    </row>
    <row r="26" spans="1:16" x14ac:dyDescent="0.35">
      <c r="B26"/>
      <c r="C26" s="14"/>
      <c r="E26"/>
    </row>
    <row r="27" spans="1:16" x14ac:dyDescent="0.35">
      <c r="B27"/>
      <c r="C27" s="14"/>
      <c r="E27"/>
    </row>
    <row r="28" spans="1:16" x14ac:dyDescent="0.35">
      <c r="B28"/>
      <c r="C28" s="14"/>
      <c r="E28"/>
    </row>
    <row r="29" spans="1:16" x14ac:dyDescent="0.35">
      <c r="B29"/>
      <c r="C29" s="14"/>
      <c r="E29"/>
    </row>
    <row r="30" spans="1:16" x14ac:dyDescent="0.35">
      <c r="B30"/>
      <c r="C30" s="14"/>
      <c r="E30"/>
    </row>
    <row r="31" spans="1:16" ht="15" hidden="1" customHeight="1" x14ac:dyDescent="0.35">
      <c r="B31"/>
      <c r="C31" s="14"/>
      <c r="E31"/>
    </row>
    <row r="32" spans="1:16" ht="15.75" hidden="1" customHeight="1" x14ac:dyDescent="0.35">
      <c r="B32"/>
      <c r="C32" s="14"/>
      <c r="E32"/>
    </row>
    <row r="33" spans="2:12" x14ac:dyDescent="0.35">
      <c r="B33"/>
      <c r="C33" s="14"/>
      <c r="E33"/>
    </row>
    <row r="34" spans="2:12" x14ac:dyDescent="0.35">
      <c r="B34"/>
      <c r="C34" s="14"/>
      <c r="E34"/>
    </row>
    <row r="35" spans="2:12" x14ac:dyDescent="0.35">
      <c r="B35"/>
      <c r="C35" s="14"/>
      <c r="E35"/>
    </row>
    <row r="36" spans="2:12" x14ac:dyDescent="0.35">
      <c r="B36"/>
      <c r="C36" s="14"/>
      <c r="E36"/>
    </row>
    <row r="37" spans="2:12" x14ac:dyDescent="0.35">
      <c r="B37"/>
      <c r="E37"/>
    </row>
    <row r="38" spans="2:12" ht="14.5" customHeight="1" x14ac:dyDescent="0.35">
      <c r="B38"/>
      <c r="E38"/>
    </row>
    <row r="39" spans="2:12" ht="14.5" customHeight="1" x14ac:dyDescent="0.35">
      <c r="B39"/>
      <c r="E39"/>
    </row>
    <row r="40" spans="2:12" x14ac:dyDescent="0.35">
      <c r="B40"/>
      <c r="E40"/>
    </row>
    <row r="41" spans="2:12" x14ac:dyDescent="0.35">
      <c r="B41"/>
      <c r="E41"/>
    </row>
    <row r="42" spans="2:12" x14ac:dyDescent="0.35">
      <c r="B42"/>
      <c r="E42"/>
    </row>
    <row r="43" spans="2:12" x14ac:dyDescent="0.35">
      <c r="B43"/>
      <c r="E43"/>
    </row>
    <row r="44" spans="2:12" x14ac:dyDescent="0.35">
      <c r="B44"/>
      <c r="E44"/>
    </row>
    <row r="45" spans="2:12" x14ac:dyDescent="0.35">
      <c r="B45"/>
      <c r="E45"/>
    </row>
    <row r="46" spans="2:12" x14ac:dyDescent="0.35">
      <c r="L46" s="14"/>
    </row>
    <row r="47" spans="2:12" x14ac:dyDescent="0.35">
      <c r="L47" s="14"/>
    </row>
    <row r="48" spans="2:12" x14ac:dyDescent="0.35">
      <c r="L48" s="14"/>
    </row>
    <row r="49" spans="12:12" x14ac:dyDescent="0.35">
      <c r="L49" s="14"/>
    </row>
    <row r="50" spans="12:12" x14ac:dyDescent="0.35">
      <c r="L50" s="14"/>
    </row>
    <row r="51" spans="12:12" x14ac:dyDescent="0.35">
      <c r="L51" s="14"/>
    </row>
    <row r="52" spans="12:12" x14ac:dyDescent="0.35">
      <c r="L52" s="14"/>
    </row>
    <row r="53" spans="12:12" x14ac:dyDescent="0.35">
      <c r="L53" s="14"/>
    </row>
    <row r="54" spans="12:12" x14ac:dyDescent="0.35">
      <c r="L54" s="14"/>
    </row>
    <row r="55" spans="12:12" x14ac:dyDescent="0.35">
      <c r="L55" s="14"/>
    </row>
    <row r="56" spans="12:12" x14ac:dyDescent="0.35">
      <c r="L56" s="14"/>
    </row>
    <row r="57" spans="12:12" x14ac:dyDescent="0.35">
      <c r="L57" s="14"/>
    </row>
    <row r="58" spans="12:12" x14ac:dyDescent="0.35">
      <c r="L58" s="14"/>
    </row>
    <row r="59" spans="12:12" x14ac:dyDescent="0.35">
      <c r="L59" s="14"/>
    </row>
    <row r="60" spans="12:12" x14ac:dyDescent="0.35">
      <c r="L60" s="14"/>
    </row>
    <row r="61" spans="12:12" x14ac:dyDescent="0.35">
      <c r="L61" s="14"/>
    </row>
    <row r="62" spans="12:12" x14ac:dyDescent="0.35">
      <c r="L62" s="14"/>
    </row>
    <row r="63" spans="12:12" x14ac:dyDescent="0.35">
      <c r="L63" s="14"/>
    </row>
    <row r="64" spans="12:12" x14ac:dyDescent="0.35">
      <c r="L64" s="14"/>
    </row>
    <row r="65" spans="12:12" x14ac:dyDescent="0.35">
      <c r="L65" s="14"/>
    </row>
    <row r="66" spans="12:12" x14ac:dyDescent="0.35">
      <c r="L66" s="14"/>
    </row>
    <row r="67" spans="12:12" x14ac:dyDescent="0.35">
      <c r="L67" s="14"/>
    </row>
    <row r="68" spans="12:12" x14ac:dyDescent="0.35">
      <c r="L68" s="14"/>
    </row>
    <row r="69" spans="12:12" x14ac:dyDescent="0.35">
      <c r="L69" s="14"/>
    </row>
    <row r="70" spans="12:12" x14ac:dyDescent="0.35">
      <c r="L70" s="14"/>
    </row>
    <row r="71" spans="12:12" x14ac:dyDescent="0.35">
      <c r="L71" s="14"/>
    </row>
    <row r="72" spans="12:12" x14ac:dyDescent="0.35">
      <c r="L72" s="14"/>
    </row>
    <row r="73" spans="12:12" x14ac:dyDescent="0.35">
      <c r="L73" s="14"/>
    </row>
    <row r="74" spans="12:12" x14ac:dyDescent="0.35">
      <c r="L74" s="14"/>
    </row>
    <row r="75" spans="12:12" x14ac:dyDescent="0.35">
      <c r="L75" s="14"/>
    </row>
    <row r="76" spans="12:12" x14ac:dyDescent="0.35">
      <c r="L76" s="14"/>
    </row>
    <row r="77" spans="12:12" x14ac:dyDescent="0.35">
      <c r="L77" s="14"/>
    </row>
    <row r="78" spans="12:12" x14ac:dyDescent="0.35">
      <c r="L78" s="14"/>
    </row>
    <row r="79" spans="12:12" x14ac:dyDescent="0.35">
      <c r="L79" s="14"/>
    </row>
    <row r="80" spans="12:12" x14ac:dyDescent="0.35">
      <c r="L80" s="14"/>
    </row>
    <row r="81" spans="12:12" x14ac:dyDescent="0.35">
      <c r="L81" s="14"/>
    </row>
    <row r="82" spans="12:12" x14ac:dyDescent="0.35">
      <c r="L82" s="14"/>
    </row>
    <row r="83" spans="12:12" x14ac:dyDescent="0.35">
      <c r="L83" s="14"/>
    </row>
    <row r="84" spans="12:12" x14ac:dyDescent="0.35">
      <c r="L84" s="14"/>
    </row>
    <row r="85" spans="12:12" x14ac:dyDescent="0.35">
      <c r="L85" s="14"/>
    </row>
    <row r="86" spans="12:12" x14ac:dyDescent="0.35">
      <c r="L86" s="14"/>
    </row>
    <row r="87" spans="12:12" x14ac:dyDescent="0.35">
      <c r="L87" s="14"/>
    </row>
    <row r="88" spans="12:12" x14ac:dyDescent="0.35">
      <c r="L88" s="14"/>
    </row>
    <row r="89" spans="12:12" x14ac:dyDescent="0.35">
      <c r="L89" s="14"/>
    </row>
    <row r="90" spans="12:12" x14ac:dyDescent="0.35">
      <c r="L90" s="14"/>
    </row>
    <row r="91" spans="12:12" x14ac:dyDescent="0.35">
      <c r="L91" s="14"/>
    </row>
    <row r="92" spans="12:12" x14ac:dyDescent="0.35">
      <c r="L92" s="14"/>
    </row>
    <row r="93" spans="12:12" x14ac:dyDescent="0.35">
      <c r="L93" s="14"/>
    </row>
    <row r="94" spans="12:12" x14ac:dyDescent="0.35">
      <c r="L94" s="14"/>
    </row>
    <row r="95" spans="12:12" x14ac:dyDescent="0.35">
      <c r="L95" s="14"/>
    </row>
    <row r="96" spans="12:12" x14ac:dyDescent="0.35">
      <c r="L96" s="14"/>
    </row>
    <row r="97" spans="12:12" x14ac:dyDescent="0.35">
      <c r="L97" s="14"/>
    </row>
    <row r="113" ht="14.5" customHeight="1" x14ac:dyDescent="0.35"/>
    <row r="114" ht="14.5" customHeight="1" x14ac:dyDescent="0.35"/>
  </sheetData>
  <mergeCells count="18">
    <mergeCell ref="L12:M12"/>
    <mergeCell ref="N12:O12"/>
    <mergeCell ref="L20:M20"/>
    <mergeCell ref="N20:O20"/>
    <mergeCell ref="H21:I21"/>
    <mergeCell ref="J21:K21"/>
    <mergeCell ref="L21:M21"/>
    <mergeCell ref="N21:O21"/>
    <mergeCell ref="D21:E21"/>
    <mergeCell ref="A12:E12"/>
    <mergeCell ref="F12:G12"/>
    <mergeCell ref="H12:I12"/>
    <mergeCell ref="J12:K12"/>
    <mergeCell ref="H20:I20"/>
    <mergeCell ref="F21:G21"/>
    <mergeCell ref="D20:E20"/>
    <mergeCell ref="F20:G20"/>
    <mergeCell ref="J20:K20"/>
  </mergeCells>
  <phoneticPr fontId="10" type="noConversion"/>
  <pageMargins left="0.7" right="0.7" top="0.75" bottom="0.75" header="0.3" footer="0.3"/>
  <pageSetup orientation="portrait" verticalDpi="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K 8 E A A B Q S w M E F A A C A A g A j o C / 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j o C / 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6 A v 1 Q P u z j + q Q E A A D 8 N A A A T A B w A R m 9 y b X V s Y X M v U 2 V j d G l v b j E u b S C i G A A o o B Q A A A A A A A A A A A A A A A A A A A A A A A A A A A D d 0 0 1 r 4 z A Q B u B 7 I P 9 h U C 8 J G G P L X 6 F L D r v p F k o v 2 T b Q L k k I S j x J v N h y k G T Y E v L f K z v u B 6 w o L W s w 2 B f D O y N p 5 A d L 3 K g k 5 3 B / f r v f + r 1 + T + 6 Z w B g u y I y t U 3 Q c F w Z T t k N w h w T G k K L q 9 0 A / 9 3 k h N q i T a b y 1 q 1 Y 5 u E 5 S t C c 5 V 8 i V H J B f l 4 v v K P L F T 7 5 L O K J I + K 4 K O C t U s p G r q c j / 6 J N X P 5 J 4 p X c o U l Z O I R f U o R R 0 K B d X t 4 9 w h 3 u 2 h r u H 3 + D Q F X X K A u h u K L s c 6 k b 2 I d 6 S o Q X z m + y Q Y q a P r r Y Z E 9 f 2 y H J o n c d 9 v c y 4 n v w 4 v 4 n H r 3 c k y 9 P 8 i i m 2 r N s v y G T P + E 5 / h 9 n T A c u L V 5 3 2 T D A u t 7 n I J n l a Z L w s y s H L J t b x S M 6 5 S y x Q u g Y K / 6 q T B S 8 5 1 f m k E A L 5 5 s k u F 7 + r e f / U T s N + L + H G g Y x S t J a i X Z C i Z i n a h B R t W 8 q r p b w u S H l m K a 8 J K a 9 t K b + W 8 r s g 5 Z u l / C a k / L a l g l o q 6 I J U Y J Y K m p A K P i f 1 l n 9 V I u y S R G i W C J u Q C N v + Z 6 J a K u y C V G S W i p q Q i t q W G t V S U R e k R m a p U R N S o / + X q t b w I l u j + N D p G V B L A Q I t A B Q A A g A I A I 6 A v 1 S H I L 8 k p A A A A P U A A A A S A A A A A A A A A A A A A A A A A A A A A A B D b 2 5 m a W c v U G F j a 2 F n Z S 5 4 b W x Q S w E C L Q A U A A I A C A C O g L 9 U D 8 r p q 6 Q A A A D p A A A A E w A A A A A A A A A A A A A A A A D w A A A A W 0 N v b n R l b n R f V H l w Z X N d L n h t b F B L A Q I t A B Q A A g A I A I 6 A v 1 Q P u z j + q Q E A A D 8 N A A A T A A A A A A A A A A A A A A A A A O E B A A B G b 3 J t d W x h c y 9 T Z W N 0 a W 9 u M S 5 t U E s F B g A A A A A D A A M A w g A A A N c 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8 m A A A A A A A A f S 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D A x J T I w K F B h Z 2 U l M j A x 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T Y 5 M T Y 2 O V o i I C 8 + P E V u d H J 5 I F R 5 c G U 9 I k Z p b G x T d G F 0 d X M i I F Z h b H V l P S J z Q 2 9 t c G x l d G U i I C 8 + P C 9 T d G F i b G V F b n R y a W V z P j w v S X R l b T 4 8 S X R l b T 4 8 S X R l b U x v Y 2 F 0 a W 9 u P j x J d G V t V H l w Z T 5 G b 3 J t d W x h P C 9 J d G V t V H l w Z T 4 8 S X R l b V B h d G g + U 2 V j d G l v b j E v V G F i b G U w M D E l M j A o U G F n Z S U y M D E p L 1 N v d X J j Z T w v S X R l b V B h d G g + P C 9 J d G V t T G 9 j Y X R p b 2 4 + P F N 0 Y W J s Z U V u d H J p Z X M g L z 4 8 L 0 l 0 Z W 0 + P E l 0 Z W 0 + P E l 0 Z W 1 M b 2 N h d G l v b j 4 8 S X R l b V R 5 c G U + R m 9 y b X V s Y T w v S X R l b V R 5 c G U + P E l 0 Z W 1 Q Y X R o P l N l Y 3 R p b 2 4 x L 1 R h Y m x l M D A x J T I w K F B h Z 2 U l M j A x K S 9 U Y W J s Z T A w M T w v S X R l b V B h d G g + P C 9 J d G V t T G 9 j Y X R p b 2 4 + P F N 0 Y W J s Z U V u d H J p Z X M g L z 4 8 L 0 l 0 Z W 0 + P E l 0 Z W 0 + P E l 0 Z W 1 M b 2 N h d G l v b j 4 8 S X R l b V R 5 c G U + R m 9 y b X V s Y T w v S X R l b V R 5 c G U + P E l 0 Z W 1 Q Y X R o P l N l Y 3 R p b 2 4 x L 1 R h Y m x l M D A x J T I w K F B h Z 2 U l M j A x K S 9 D a G F u Z 2 V k J T I w V H l w Z T w v S X R l b V B h d G g + P C 9 J d G V t T G 9 j Y X R p b 2 4 + P F N 0 Y W J s Z U V u d H J p Z X M g L z 4 8 L 0 l 0 Z W 0 + P E l 0 Z W 0 + P E l 0 Z W 1 M b 2 N h d G l v b j 4 8 S X R l b V R 5 c G U + R m 9 y b X V s Y T w v S X R l b V R 5 c G U + P E l 0 Z W 1 Q Y X R o P l N l Y 3 R p b 2 4 x L 1 R h Y m x l M D A y J T I w K F B h Z 2 U l M j A 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T g 0 O T A 3 M F o i I C 8 + P E V u d H J 5 I F R 5 c G U 9 I k Z p b G x T d G F 0 d X M i I F Z h b H V l P S J z Q 2 9 t c G x l d G U i I C 8 + P C 9 T d G F i b G V F b n R y a W V z P j w v S X R l b T 4 8 S X R l b T 4 8 S X R l b U x v Y 2 F 0 a W 9 u P j x J d G V t V H l w Z T 5 G b 3 J t d W x h P C 9 J d G V t V H l w Z T 4 8 S X R l b V B h d G g + U 2 V j d G l v b j E v V G F i b G U w M D I l M j A o U G F n Z S U y M D I p L 1 N v d X J j Z T w v S X R l b V B h d G g + P C 9 J d G V t T G 9 j Y X R p b 2 4 + P F N 0 Y W J s Z U V u d H J p Z X M g L z 4 8 L 0 l 0 Z W 0 + P E l 0 Z W 0 + P E l 0 Z W 1 M b 2 N h d G l v b j 4 8 S X R l b V R 5 c G U + R m 9 y b X V s Y T w v S X R l b V R 5 c G U + P E l 0 Z W 1 Q Y X R o P l N l Y 3 R p b 2 4 x L 1 R h Y m x l M D A y J T I w K F B h Z 2 U l M j A y K S 9 U Y W J s Z T A w M j w v S X R l b V B h d G g + P C 9 J d G V t T G 9 j Y X R p b 2 4 + P F N 0 Y W J s Z U V u d H J p Z X M g L z 4 8 L 0 l 0 Z W 0 + P E l 0 Z W 0 + P E l 0 Z W 1 M b 2 N h d G l v b j 4 8 S X R l b V R 5 c G U + R m 9 y b X V s Y T w v S X R l b V R 5 c G U + P E l 0 Z W 1 Q Y X R o P l N l Y 3 R p b 2 4 x L 1 R h Y m x l M D A y J T I w K F B h Z 2 U l M j A y K S 9 D a G F u Z 2 V k J T I w V H l w Z T w v S X R l b V B h d G g + P C 9 J d G V t T G 9 j Y X R p b 2 4 + P F N 0 Y W J s Z U V u d H J p Z X M g L z 4 8 L 0 l 0 Z W 0 + P E l 0 Z W 0 + P E l 0 Z W 1 M b 2 N h d G l v b j 4 8 S X R l b V R 5 c G U + R m 9 y b X V s Y T w v S X R l b V R 5 c G U + P E l 0 Z W 1 Q Y X R o P l N l Y 3 R p b 2 4 x L 1 R h Y m x l M D A z J T I w K F B h Z 2 U l M j A 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T g 0 O T A 3 M F o i I C 8 + P E V u d H J 5 I F R 5 c G U 9 I k Z p b G x T d G F 0 d X M i I F Z h b H V l P S J z Q 2 9 t c G x l d G U i I C 8 + P C 9 T d G F i b G V F b n R y a W V z P j w v S X R l b T 4 8 S X R l b T 4 8 S X R l b U x v Y 2 F 0 a W 9 u P j x J d G V t V H l w Z T 5 G b 3 J t d W x h P C 9 J d G V t V H l w Z T 4 8 S X R l b V B h d G g + U 2 V j d G l v b j E v V G F i b G U w M D M l M j A o U G F n Z S U y M D M p L 1 N v d X J j Z T w v S X R l b V B h d G g + P C 9 J d G V t T G 9 j Y X R p b 2 4 + P F N 0 Y W J s Z U V u d H J p Z X M g L z 4 8 L 0 l 0 Z W 0 + P E l 0 Z W 0 + P E l 0 Z W 1 M b 2 N h d G l v b j 4 8 S X R l b V R 5 c G U + R m 9 y b X V s Y T w v S X R l b V R 5 c G U + P E l 0 Z W 1 Q Y X R o P l N l Y 3 R p b 2 4 x L 1 R h Y m x l M D A z J T I w K F B h Z 2 U l M j A z K S 9 U Y W J s Z T A w M z w v S X R l b V B h d G g + P C 9 J d G V t T G 9 j Y X R p b 2 4 + P F N 0 Y W J s Z U V u d H J p Z X M g L z 4 8 L 0 l 0 Z W 0 + P E l 0 Z W 0 + P E l 0 Z W 1 M b 2 N h d G l v b j 4 8 S X R l b V R 5 c G U + R m 9 y b X V s Y T w v S X R l b V R 5 c G U + P E l 0 Z W 1 Q Y X R o P l N l Y 3 R p b 2 4 x L 1 R h Y m x l M D A z J T I w K F B h Z 2 U l M j A z K S 9 D a G F u Z 2 V k J T I w V H l w Z T w v S X R l b V B h d G g + P C 9 J d G V t T G 9 j Y X R p b 2 4 + P F N 0 Y W J s Z U V u d H J p Z X M g L z 4 8 L 0 l 0 Z W 0 + P E l 0 Z W 0 + P E l 0 Z W 1 M b 2 N h d G l v b j 4 8 S X R l b V R 5 c G U + R m 9 y b X V s Y T w v S X R l b V R 5 c G U + P E l 0 Z W 1 Q Y X R o P l N l Y 3 R p b 2 4 x L 1 R h Y m x l M D A 0 J T I w K F B h Z 2 U l M j A 0 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j A 0 N T U 0 M 1 o i I C 8 + P E V u d H J 5 I F R 5 c G U 9 I k Z p b G x T d G F 0 d X M i I F Z h b H V l P S J z Q 2 9 t c G x l d G U i I C 8 + P C 9 T d G F i b G V F b n R y a W V z P j w v S X R l b T 4 8 S X R l b T 4 8 S X R l b U x v Y 2 F 0 a W 9 u P j x J d G V t V H l w Z T 5 G b 3 J t d W x h P C 9 J d G V t V H l w Z T 4 8 S X R l b V B h d G g + U 2 V j d G l v b j E v V G F i b G U w M D Q l M j A o U G F n Z S U y M D Q p L 1 N v d X J j Z T w v S X R l b V B h d G g + P C 9 J d G V t T G 9 j Y X R p b 2 4 + P F N 0 Y W J s Z U V u d H J p Z X M g L z 4 8 L 0 l 0 Z W 0 + P E l 0 Z W 0 + P E l 0 Z W 1 M b 2 N h d G l v b j 4 8 S X R l b V R 5 c G U + R m 9 y b X V s Y T w v S X R l b V R 5 c G U + P E l 0 Z W 1 Q Y X R o P l N l Y 3 R p b 2 4 x L 1 R h Y m x l M D A 0 J T I w K F B h Z 2 U l M j A 0 K S 9 U Y W J s Z T A w N D w v S X R l b V B h d G g + P C 9 J d G V t T G 9 j Y X R p b 2 4 + P F N 0 Y W J s Z U V u d H J p Z X M g L z 4 8 L 0 l 0 Z W 0 + P E l 0 Z W 0 + P E l 0 Z W 1 M b 2 N h d G l v b j 4 8 S X R l b V R 5 c G U + R m 9 y b X V s Y T w v S X R l b V R 5 c G U + P E l 0 Z W 1 Q Y X R o P l N l Y 3 R p b 2 4 x L 1 R h Y m x l M D A 0 J T I w K F B h Z 2 U l M j A 0 K S 9 D a G F u Z 2 V k J T I w V H l w Z T w v S X R l b V B h d G g + P C 9 J d G V t T G 9 j Y X R p b 2 4 + P F N 0 Y W J s Z U V u d H J p Z X M g L z 4 8 L 0 l 0 Z W 0 + P E l 0 Z W 0 + P E l 0 Z W 1 M b 2 N h d G l v b j 4 8 S X R l b V R 5 c G U + R m 9 y b X V s Y T w v S X R l b V R 5 c G U + P E l 0 Z W 1 Q Y X R o P l N l Y 3 R p b 2 4 x L 1 R h Y m x l M D A 1 J T I w K F B h Z 2 U l M j A 1 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j A 0 N T U 0 M 1 o i I C 8 + P E V u d H J 5 I F R 5 c G U 9 I k Z p b G x T d G F 0 d X M i I F Z h b H V l P S J z Q 2 9 t c G x l d G U i I C 8 + P C 9 T d G F i b G V F b n R y a W V z P j w v S X R l b T 4 8 S X R l b T 4 8 S X R l b U x v Y 2 F 0 a W 9 u P j x J d G V t V H l w Z T 5 G b 3 J t d W x h P C 9 J d G V t V H l w Z T 4 8 S X R l b V B h d G g + U 2 V j d G l v b j E v V G F i b G U w M D U l M j A o U G F n Z S U y M D U p L 1 N v d X J j Z T w v S X R l b V B h d G g + P C 9 J d G V t T G 9 j Y X R p b 2 4 + P F N 0 Y W J s Z U V u d H J p Z X M g L z 4 8 L 0 l 0 Z W 0 + P E l 0 Z W 0 + P E l 0 Z W 1 M b 2 N h d G l v b j 4 8 S X R l b V R 5 c G U + R m 9 y b X V s Y T w v S X R l b V R 5 c G U + P E l 0 Z W 1 Q Y X R o P l N l Y 3 R p b 2 4 x L 1 R h Y m x l M D A 1 J T I w K F B h Z 2 U l M j A 1 K S 9 U Y W J s Z T A w N T w v S X R l b V B h d G g + P C 9 J d G V t T G 9 j Y X R p b 2 4 + P F N 0 Y W J s Z U V u d H J p Z X M g L z 4 8 L 0 l 0 Z W 0 + P E l 0 Z W 0 + P E l 0 Z W 1 M b 2 N h d G l v b j 4 8 S X R l b V R 5 c G U + R m 9 y b X V s Y T w v S X R l b V R 5 c G U + P E l 0 Z W 1 Q Y X R o P l N l Y 3 R p b 2 4 x L 1 R h Y m x l M D A 1 J T I w K F B h Z 2 U l M j A 1 K S 9 D a G F u Z 2 V k J T I w V H l w Z T w v S X R l b V B h d G g + P C 9 J d G V t T G 9 j Y X R p b 2 4 + P F N 0 Y W J s Z U V u d H J p Z X M g L z 4 8 L 0 l 0 Z W 0 + P E l 0 Z W 0 + P E l 0 Z W 1 M b 2 N h d G l v b j 4 8 S X R l b V R 5 c G U + R m 9 y b X V s Y T w v S X R l b V R 5 c G U + P E l 0 Z W 1 Q Y X R o P l N l Y 3 R p b 2 4 x L 1 R h Y m x l M D A 2 J T I w K F B h Z 2 U l M j A 1 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j A 0 N T U 0 M 1 o i I C 8 + P E V u d H J 5 I F R 5 c G U 9 I k Z p b G x T d G F 0 d X M i I F Z h b H V l P S J z Q 2 9 t c G x l d G U i I C 8 + P C 9 T d G F i b G V F b n R y a W V z P j w v S X R l b T 4 8 S X R l b T 4 8 S X R l b U x v Y 2 F 0 a W 9 u P j x J d G V t V H l w Z T 5 G b 3 J t d W x h P C 9 J d G V t V H l w Z T 4 8 S X R l b V B h d G g + U 2 V j d G l v b j E v V G F i b G U w M D Y l M j A o U G F n Z S U y M D U p L 1 N v d X J j Z T w v S X R l b V B h d G g + P C 9 J d G V t T G 9 j Y X R p b 2 4 + P F N 0 Y W J s Z U V u d H J p Z X M g L z 4 8 L 0 l 0 Z W 0 + P E l 0 Z W 0 + P E l 0 Z W 1 M b 2 N h d G l v b j 4 8 S X R l b V R 5 c G U + R m 9 y b X V s Y T w v S X R l b V R 5 c G U + P E l 0 Z W 1 Q Y X R o P l N l Y 3 R p b 2 4 x L 1 R h Y m x l M D A 2 J T I w K F B h Z 2 U l M j A 1 K S 9 U Y W J s Z T A w N j w v S X R l b V B h d G g + P C 9 J d G V t T G 9 j Y X R p b 2 4 + P F N 0 Y W J s Z U V u d H J p Z X M g L z 4 8 L 0 l 0 Z W 0 + P E l 0 Z W 0 + P E l 0 Z W 1 M b 2 N h d G l v b j 4 8 S X R l b V R 5 c G U + R m 9 y b X V s Y T w v S X R l b V R 5 c G U + P E l 0 Z W 1 Q Y X R o P l N l Y 3 R p b 2 4 x L 1 R h Y m x l M D A 2 J T I w K F B h Z 2 U l M j A 1 K S 9 D a G F u Z 2 V k J T I w V H l w Z T w v S X R l b V B h d G g + P C 9 J d G V t T G 9 j Y X R p b 2 4 + P F N 0 Y W J s Z U V u d H J p Z X M g L z 4 8 L 0 l 0 Z W 0 + P E l 0 Z W 0 + P E l 0 Z W 1 M b 2 N h d G l v b j 4 8 S X R l b V R 5 c G U + R m 9 y b X V s Y T w v S X R l b V R 5 c G U + P E l 0 Z W 1 Q Y X R o P l N l Y 3 R p b 2 4 x L 1 R h Y m x l M D A 3 J T I w K F B h Z 2 U l M j A 2 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j I w M j g 1 O V o i I C 8 + P E V u d H J 5 I F R 5 c G U 9 I k Z p b G x T d G F 0 d X M i I F Z h b H V l P S J z Q 2 9 t c G x l d G U i I C 8 + P C 9 T d G F i b G V F b n R y a W V z P j w v S X R l b T 4 8 S X R l b T 4 8 S X R l b U x v Y 2 F 0 a W 9 u P j x J d G V t V H l w Z T 5 G b 3 J t d W x h P C 9 J d G V t V H l w Z T 4 8 S X R l b V B h d G g + U 2 V j d G l v b j E v V G F i b G U w M D c l M j A o U G F n Z S U y M D Y p L 1 N v d X J j Z T w v S X R l b V B h d G g + P C 9 J d G V t T G 9 j Y X R p b 2 4 + P F N 0 Y W J s Z U V u d H J p Z X M g L z 4 8 L 0 l 0 Z W 0 + P E l 0 Z W 0 + P E l 0 Z W 1 M b 2 N h d G l v b j 4 8 S X R l b V R 5 c G U + R m 9 y b X V s Y T w v S X R l b V R 5 c G U + P E l 0 Z W 1 Q Y X R o P l N l Y 3 R p b 2 4 x L 1 R h Y m x l M D A 3 J T I w K F B h Z 2 U l M j A 2 K S 9 U Y W J s Z T A w N z w v S X R l b V B h d G g + P C 9 J d G V t T G 9 j Y X R p b 2 4 + P F N 0 Y W J s Z U V u d H J p Z X M g L z 4 8 L 0 l 0 Z W 0 + P E l 0 Z W 0 + P E l 0 Z W 1 M b 2 N h d G l v b j 4 8 S X R l b V R 5 c G U + R m 9 y b X V s Y T w v S X R l b V R 5 c G U + P E l 0 Z W 1 Q Y X R o P l N l Y 3 R p b 2 4 x L 1 R h Y m x l M D A 3 J T I w K F B h Z 2 U l M j A 2 K S 9 D a G F u Z 2 V k J T I w V H l w Z T w v S X R l b V B h d G g + P C 9 J d G V t T G 9 j Y X R p b 2 4 + P F N 0 Y W J s Z U V u d H J p Z X M g L z 4 8 L 0 l 0 Z W 0 + P E l 0 Z W 0 + P E l 0 Z W 1 M b 2 N h d G l v b j 4 8 S X R l b V R 5 c G U + R m 9 y b X V s Y T w v S X R l b V R 5 c G U + P E l 0 Z W 1 Q Y X R o P l N l Y 3 R p b 2 4 x L 1 R h Y m x l M D A 4 J T I w K F B h Z 2 U l M j A 3 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X Z p Z 2 F 0 a W 9 u U 3 R l c E 5 h b W U i I F Z h b H V l P S J z T m F 2 a W d h d G l v b i I g L z 4 8 R W 5 0 c n k g V H l w Z T 0 i R m l s b G V k Q 2 9 t c G x l d G V S Z X N 1 b H R U b 1 d v c m t z a G V l d C I g V m F s d W U 9 I m w w I i A v P j x F b n R y e S B U e X B l P S J B Z G R l Z F R v R G F 0 Y U 1 v Z G V s I i B W Y W x 1 Z T 0 i b D A i I C 8 + P E V u d H J 5 I F R 5 c G U 9 I k Z p b G x F c n J v c k N v Z G U i I F Z h b H V l P S J z V W 5 r b m 9 3 b i I g L z 4 8 R W 5 0 c n k g V H l w Z T 0 i R m l s b E x h c 3 R V c G R h d G V k I i B W Y W x 1 Z T 0 i Z D I w M j I t M D U t M z F U M j A 6 N T Q 6 M j Y u M j I w M j g 1 O V o i I C 8 + P E V u d H J 5 I F R 5 c G U 9 I k Z p b G x T d G F 0 d X M i I F Z h b H V l P S J z Q 2 9 t c G x l d G U i I C 8 + P C 9 T d G F i b G V F b n R y a W V z P j w v S X R l b T 4 8 S X R l b T 4 8 S X R l b U x v Y 2 F 0 a W 9 u P j x J d G V t V H l w Z T 5 G b 3 J t d W x h P C 9 J d G V t V H l w Z T 4 8 S X R l b V B h d G g + U 2 V j d G l v b j E v V G F i b G U w M D g l M j A o U G F n Z S U y M D c p L 1 N v d X J j Z T w v S X R l b V B h d G g + P C 9 J d G V t T G 9 j Y X R p b 2 4 + P F N 0 Y W J s Z U V u d H J p Z X M g L z 4 8 L 0 l 0 Z W 0 + P E l 0 Z W 0 + P E l 0 Z W 1 M b 2 N h d G l v b j 4 8 S X R l b V R 5 c G U + R m 9 y b X V s Y T w v S X R l b V R 5 c G U + P E l 0 Z W 1 Q Y X R o P l N l Y 3 R p b 2 4 x L 1 R h Y m x l M D A 4 J T I w K F B h Z 2 U l M j A 3 K S 9 U Y W J s Z T A w O D w v S X R l b V B h d G g + P C 9 J d G V t T G 9 j Y X R p b 2 4 + P F N 0 Y W J s Z U V u d H J p Z X M g L z 4 8 L 0 l 0 Z W 0 + P E l 0 Z W 0 + P E l 0 Z W 1 M b 2 N h d G l v b j 4 8 S X R l b V R 5 c G U + R m 9 y b X V s Y T w v S X R l b V R 5 c G U + P E l 0 Z W 1 Q Y X R o P l N l Y 3 R p b 2 4 x L 1 R h Y m x l M D A 4 J T I w K F B h Z 2 U l M j A 3 K S 9 D a G F u Z 2 V k J T I w V H l w Z T w v S X R l b V B h d G g + P C 9 J d G V t T G 9 j Y X R p b 2 4 + P F N 0 Y W J s Z U V u d H J p Z X M g L z 4 8 L 0 l 0 Z W 0 + P C 9 J d G V t c z 4 8 L 0 x v Y 2 F s U G F j a 2 F n Z U 1 l d G F k Y X R h R m l s Z T 4 W A A A A U E s F B g A A A A A A A A A A A A A A A A A A A A A A A N o A A A A B A A A A 0 I y d 3 w E V 0 R G M e g D A T 8 K X 6 w E A A A A 6 9 M v T g o F Q Q a e A R j H i W O y x A A A A A A I A A A A A A A N m A A D A A A A A E A A A A M B z g f w 4 S r 0 9 3 n A d O q f w c v c A A A A A B I A A A K A A A A A Q A A A A a b a Q 9 j e Y C Q Q m E F v / b / h 3 K l A A A A C S O L 4 c P K N 4 O w J O s 4 A a P B I Y r c P i k u P W Y X u X O e m r K E 4 9 h z A 9 T k S a 6 S L 8 3 1 y Y 9 P 5 D 4 / G S j T 1 M 1 a L t Z f 3 7 P h X P x n 5 s r e g N N X 6 v Q y G 3 q 1 y 3 d B I s A R Q A A A C / h S W N l o N 7 5 6 Q D n a 8 Q Y 3 Z g P G h T A g = = < / D a t a M a s h u p > 
</file>

<file path=customXml/item4.xml><?xml version="1.0" encoding="utf-8"?>
<ct:contentTypeSchema xmlns:ct="http://schemas.microsoft.com/office/2006/metadata/contentType" xmlns:ma="http://schemas.microsoft.com/office/2006/metadata/properties/metaAttributes" ct:_="" ma:_="" ma:contentTypeName="Document" ma:contentTypeID="0x010100D8D2117A4D541040B61A5C82D43BF212" ma:contentTypeVersion="4" ma:contentTypeDescription="Create a new document." ma:contentTypeScope="" ma:versionID="bfa67fb103275db0397400b2f245c158">
  <xsd:schema xmlns:xsd="http://www.w3.org/2001/XMLSchema" xmlns:xs="http://www.w3.org/2001/XMLSchema" xmlns:p="http://schemas.microsoft.com/office/2006/metadata/properties" xmlns:ns2="b7d7a175-c1ee-4c50-9ce6-1e96218be3f7" targetNamespace="http://schemas.microsoft.com/office/2006/metadata/properties" ma:root="true" ma:fieldsID="2a3a820ef297c7b5529287bd288d2795" ns2:_="">
    <xsd:import namespace="b7d7a175-c1ee-4c50-9ce6-1e96218be3f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d7a175-c1ee-4c50-9ce6-1e96218be3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27B577-52C4-4E4F-B93F-05B72D3DE678}">
  <ds:schemaRefs>
    <ds:schemaRef ds:uri="http://schemas.microsoft.com/sharepoint/v3/contenttype/forms"/>
  </ds:schemaRefs>
</ds:datastoreItem>
</file>

<file path=customXml/itemProps2.xml><?xml version="1.0" encoding="utf-8"?>
<ds:datastoreItem xmlns:ds="http://schemas.openxmlformats.org/officeDocument/2006/customXml" ds:itemID="{6AB13B6F-30C4-4F0B-AA06-7D01D4392D4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7d7a175-c1ee-4c50-9ce6-1e96218be3f7"/>
    <ds:schemaRef ds:uri="http://www.w3.org/XML/1998/namespace"/>
  </ds:schemaRefs>
</ds:datastoreItem>
</file>

<file path=customXml/itemProps3.xml><?xml version="1.0" encoding="utf-8"?>
<ds:datastoreItem xmlns:ds="http://schemas.openxmlformats.org/officeDocument/2006/customXml" ds:itemID="{86B4F585-8502-4EA1-AAB7-BC3A1ADF1991}">
  <ds:schemaRefs>
    <ds:schemaRef ds:uri="http://schemas.microsoft.com/DataMashup"/>
  </ds:schemaRefs>
</ds:datastoreItem>
</file>

<file path=customXml/itemProps4.xml><?xml version="1.0" encoding="utf-8"?>
<ds:datastoreItem xmlns:ds="http://schemas.openxmlformats.org/officeDocument/2006/customXml" ds:itemID="{D355AC02-5A62-4EF2-9380-CCD8F90832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d7a175-c1ee-4c50-9ce6-1e96218be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GUIDE</vt:lpstr>
      <vt:lpstr>DATA</vt:lpstr>
      <vt:lpstr>INDEX</vt:lpstr>
      <vt:lpstr>0A3</vt:lpstr>
      <vt:lpstr>1A7</vt:lpstr>
      <vt:lpstr>2M2</vt:lpstr>
      <vt:lpstr>FYE</vt:lpstr>
      <vt:lpstr>JWN</vt:lpstr>
      <vt:lpstr>LUG</vt:lpstr>
      <vt:lpstr>M54</vt:lpstr>
      <vt:lpstr>M91</vt:lpstr>
      <vt:lpstr>MKL</vt:lpstr>
      <vt:lpstr>MKL(2)</vt:lpstr>
      <vt:lpstr>MKL(3)</vt:lpstr>
      <vt:lpstr>MKL(4)</vt:lpstr>
      <vt:lpstr>MQY</vt:lpstr>
      <vt:lpstr>UCY</vt:lpstr>
      <vt:lpstr>XNX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 Pindrock</dc:creator>
  <cp:keywords/>
  <dc:description/>
  <cp:lastModifiedBy>Abigail Cothron</cp:lastModifiedBy>
  <cp:revision/>
  <dcterms:created xsi:type="dcterms:W3CDTF">2022-05-27T21:09:03Z</dcterms:created>
  <dcterms:modified xsi:type="dcterms:W3CDTF">2024-06-07T17:11:22Z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0x010100D8D2117A4D541040B61A5C82D43BF212</vt:lpwstr>
  </property>
</Properties>
</file>