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drawings/drawing8.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9.xml" ContentType="application/vnd.openxmlformats-officedocument.drawing+xml"/>
  <Override PartName="/xl/tables/table20.xml" ContentType="application/vnd.openxmlformats-officedocument.spreadsheetml.table+xml"/>
  <Override PartName="/xl/drawings/drawing10.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drawings/drawing11.xml" ContentType="application/vnd.openxmlformats-officedocument.drawing+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drawings/drawing14.xml" ContentType="application/vnd.openxmlformats-officedocument.drawing+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dot05nas001.tdot.state.tn.us\05Shared\Aero\Engineering\Aeronautics_Project_Bid_Tabulations\"/>
    </mc:Choice>
  </mc:AlternateContent>
  <xr:revisionPtr revIDLastSave="0" documentId="13_ncr:1_{7DDBC4A0-DA8B-4532-98F1-FB70D1A1681D}" xr6:coauthVersionLast="47" xr6:coauthVersionMax="47" xr10:uidLastSave="{00000000-0000-0000-0000-000000000000}"/>
  <bookViews>
    <workbookView xWindow="-110" yWindow="-110" windowWidth="19420" windowHeight="10420" firstSheet="2" activeTab="2" xr2:uid="{FB759706-A692-4127-A21C-A4FB9946AABC}"/>
  </bookViews>
  <sheets>
    <sheet name="GUIDE" sheetId="12" r:id="rId1"/>
    <sheet name="DATA" sheetId="11" state="hidden" r:id="rId2"/>
    <sheet name="INDEX" sheetId="7" r:id="rId3"/>
    <sheet name="1M5" sheetId="1" r:id="rId4"/>
    <sheet name="M02" sheetId="9" r:id="rId5"/>
    <sheet name="3M7" sheetId="8" r:id="rId6"/>
    <sheet name="MRC" sheetId="4" r:id="rId7"/>
    <sheet name="CSV" sheetId="5" r:id="rId8"/>
    <sheet name="DKX" sheetId="10" r:id="rId9"/>
    <sheet name="FYM" sheetId="3" r:id="rId10"/>
    <sheet name="2A1" sheetId="14" r:id="rId11"/>
    <sheet name="JAU" sheetId="18" r:id="rId12"/>
    <sheet name="RNC" sheetId="16" r:id="rId13"/>
    <sheet name="TRI" sheetId="19" r:id="rId14"/>
    <sheet name="TRI (2)" sheetId="20"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0" l="1"/>
  <c r="H36" i="20"/>
  <c r="F36" i="20"/>
  <c r="B10" i="20"/>
  <c r="B9" i="20"/>
  <c r="B5" i="20"/>
  <c r="B4" i="20"/>
  <c r="I34" i="19"/>
  <c r="G16" i="19"/>
  <c r="G34" i="19" s="1"/>
  <c r="G17" i="19"/>
  <c r="G18" i="19"/>
  <c r="G19" i="19"/>
  <c r="G20" i="19"/>
  <c r="G21" i="19"/>
  <c r="G22" i="19"/>
  <c r="G23" i="19"/>
  <c r="G24" i="19"/>
  <c r="G25" i="19"/>
  <c r="G26" i="19"/>
  <c r="G27" i="19"/>
  <c r="G28" i="19"/>
  <c r="G29" i="19"/>
  <c r="G30" i="19"/>
  <c r="G31" i="19"/>
  <c r="G32" i="19"/>
  <c r="I15" i="19"/>
  <c r="I16" i="19"/>
  <c r="I17" i="19"/>
  <c r="I18" i="19"/>
  <c r="I19" i="19"/>
  <c r="I20" i="19"/>
  <c r="I21" i="19"/>
  <c r="I22" i="19"/>
  <c r="I23" i="19"/>
  <c r="I24" i="19"/>
  <c r="I25" i="19"/>
  <c r="I26" i="19"/>
  <c r="I27" i="19"/>
  <c r="I28" i="19"/>
  <c r="I29" i="19"/>
  <c r="I30" i="19"/>
  <c r="I31" i="19"/>
  <c r="I32" i="19"/>
  <c r="G15" i="19"/>
  <c r="B10" i="19"/>
  <c r="B9" i="19"/>
  <c r="B5" i="19"/>
  <c r="B4" i="19"/>
  <c r="K44" i="18"/>
  <c r="I44" i="18"/>
  <c r="G44" i="18"/>
  <c r="G42"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B10" i="18"/>
  <c r="B9" i="18"/>
  <c r="B5" i="18"/>
  <c r="B4" i="18"/>
  <c r="G169" i="10"/>
  <c r="G165" i="10"/>
  <c r="G166" i="10" s="1"/>
  <c r="G159" i="10"/>
  <c r="G158" i="10"/>
  <c r="G157" i="10"/>
  <c r="G151" i="10"/>
  <c r="G150" i="10"/>
  <c r="G149" i="10"/>
  <c r="G145" i="10"/>
  <c r="G113" i="10"/>
  <c r="G114" i="10"/>
  <c r="G115" i="10"/>
  <c r="G112"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K41" i="18" l="1"/>
  <c r="I41" i="18"/>
  <c r="G160" i="10"/>
  <c r="G152" i="10"/>
  <c r="G116" i="10"/>
  <c r="G15" i="10"/>
  <c r="G107" i="10" s="1"/>
  <c r="K64" i="16"/>
  <c r="I64" i="16"/>
  <c r="G64" i="16"/>
  <c r="G61" i="16"/>
  <c r="I61" i="16"/>
  <c r="K61" i="16"/>
  <c r="G45" i="16"/>
  <c r="G77" i="16"/>
  <c r="I77" i="16"/>
  <c r="I45" i="16"/>
  <c r="K45" i="16"/>
  <c r="B10" i="16"/>
  <c r="B9" i="16"/>
  <c r="B5" i="16"/>
  <c r="B4" i="16"/>
  <c r="I105" i="14"/>
  <c r="I106" i="14" s="1"/>
  <c r="I107" i="14" s="1"/>
  <c r="G105" i="14"/>
  <c r="G106" i="14" s="1"/>
  <c r="G107" i="14" s="1"/>
  <c r="G103" i="14"/>
  <c r="I103" i="14"/>
  <c r="I80" i="14"/>
  <c r="G80" i="14"/>
  <c r="I61" i="14"/>
  <c r="G61" i="14"/>
  <c r="B10" i="14"/>
  <c r="B9" i="14"/>
  <c r="B5" i="14"/>
  <c r="B4" i="14"/>
  <c r="I100" i="4"/>
  <c r="G100" i="4"/>
  <c r="K100" i="4"/>
  <c r="M100" i="4"/>
  <c r="M98" i="4"/>
  <c r="K98" i="4"/>
  <c r="I98" i="4"/>
  <c r="G98" i="4"/>
  <c r="M88" i="4"/>
  <c r="K88" i="4"/>
  <c r="I88" i="4"/>
  <c r="G88" i="4"/>
  <c r="M51" i="4"/>
  <c r="K51" i="4"/>
  <c r="I51" i="4"/>
  <c r="G51" i="4"/>
  <c r="M37" i="4"/>
  <c r="K37" i="4"/>
  <c r="I37" i="4"/>
  <c r="G37" i="4"/>
  <c r="G97" i="8"/>
  <c r="G96" i="8"/>
  <c r="G95" i="8"/>
  <c r="I95" i="8"/>
  <c r="I97" i="8"/>
  <c r="I96" i="8"/>
  <c r="I93" i="8"/>
  <c r="G93" i="8"/>
  <c r="I86" i="8"/>
  <c r="G86" i="8"/>
  <c r="I63" i="8"/>
  <c r="G63" i="8"/>
  <c r="K17" i="5"/>
  <c r="I17" i="5"/>
  <c r="G17" i="5"/>
  <c r="I24" i="3"/>
  <c r="G24" i="3"/>
  <c r="M64" i="1"/>
  <c r="K64" i="1"/>
  <c r="I64" i="1"/>
  <c r="G64" i="1"/>
  <c r="O79" i="9"/>
  <c r="M79" i="9"/>
  <c r="K79" i="9"/>
  <c r="I79" i="9"/>
  <c r="G79" i="9"/>
  <c r="O51" i="9"/>
  <c r="M51" i="9"/>
  <c r="K51" i="9"/>
  <c r="I51" i="9"/>
  <c r="G51" i="9"/>
  <c r="V22" i="12"/>
  <c r="V21" i="12"/>
  <c r="V17" i="12"/>
  <c r="V16" i="12"/>
  <c r="B10" i="4"/>
  <c r="B9" i="4"/>
  <c r="B5" i="4"/>
  <c r="B4" i="4"/>
  <c r="B10" i="8"/>
  <c r="B9" i="8"/>
  <c r="B5" i="8"/>
  <c r="B4" i="8"/>
  <c r="B10" i="5"/>
  <c r="B9" i="5"/>
  <c r="B5" i="5"/>
  <c r="B4" i="5"/>
  <c r="B10" i="3"/>
  <c r="B9" i="3"/>
  <c r="B5" i="3"/>
  <c r="B4" i="3"/>
  <c r="B11" i="10"/>
  <c r="B10" i="10"/>
  <c r="B5" i="10"/>
  <c r="B4" i="10"/>
  <c r="B10" i="1"/>
  <c r="B9" i="1"/>
  <c r="B5" i="1"/>
  <c r="B4" i="1"/>
  <c r="B11" i="9"/>
  <c r="B10" i="9"/>
  <c r="B5" i="9"/>
  <c r="B4" i="9"/>
  <c r="G118" i="10" l="1"/>
  <c r="N36" i="4"/>
  <c r="C36" i="3"/>
  <c r="C37"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BCFF9FA-8EDC-4EE6-BED1-BBA032E30C07}" keepAlive="1" name="Query - Table001 (Page 1)" description="Connection to the 'Table001 (Page 1)' query in the workbook." type="5" refreshedVersion="0" background="1">
    <dbPr connection="Provider=Microsoft.Mashup.OleDb.1;Data Source=$Workbook$;Location=&quot;Table001 (Page 1)&quot;;Extended Properties=&quot;&quot;" command="SELECT * FROM [Table001 (Page 1)]"/>
  </connection>
  <connection id="2" xr16:uid="{6CB55213-3F7B-4517-B975-C6FD8F608071}" keepAlive="1" name="Query - Table002 (Page 2)" description="Connection to the 'Table002 (Page 2)' query in the workbook." type="5" refreshedVersion="0" background="1">
    <dbPr connection="Provider=Microsoft.Mashup.OleDb.1;Data Source=$Workbook$;Location=&quot;Table002 (Page 2)&quot;;Extended Properties=&quot;&quot;" command="SELECT * FROM [Table002 (Page 2)]"/>
  </connection>
  <connection id="3" xr16:uid="{32D684E4-B82E-4FA0-8054-E1075DA77A7C}" keepAlive="1" name="Query - Table003 (Page 3)" description="Connection to the 'Table003 (Page 3)' query in the workbook." type="5" refreshedVersion="0" background="1">
    <dbPr connection="Provider=Microsoft.Mashup.OleDb.1;Data Source=$Workbook$;Location=&quot;Table003 (Page 3)&quot;;Extended Properties=&quot;&quot;" command="SELECT * FROM [Table003 (Page 3)]"/>
  </connection>
  <connection id="4" xr16:uid="{D4E418DF-3F4A-47A4-82EB-00FA9D7C12BA}" keepAlive="1" name="Query - Table004 (Page 4)" description="Connection to the 'Table004 (Page 4)' query in the workbook." type="5" refreshedVersion="0" background="1">
    <dbPr connection="Provider=Microsoft.Mashup.OleDb.1;Data Source=$Workbook$;Location=&quot;Table004 (Page 4)&quot;;Extended Properties=&quot;&quot;" command="SELECT * FROM [Table004 (Page 4)]"/>
  </connection>
  <connection id="5" xr16:uid="{6A19C180-B014-4755-AF42-AAFD6326B915}" keepAlive="1" name="Query - Table005 (Page 5)" description="Connection to the 'Table005 (Page 5)' query in the workbook." type="5" refreshedVersion="0" background="1">
    <dbPr connection="Provider=Microsoft.Mashup.OleDb.1;Data Source=$Workbook$;Location=&quot;Table005 (Page 5)&quot;;Extended Properties=&quot;&quot;" command="SELECT * FROM [Table005 (Page 5)]"/>
  </connection>
  <connection id="6" xr16:uid="{CD435C38-8182-47F8-8E8C-99FBE2E3D750}" keepAlive="1" name="Query - Table006 (Page 5)" description="Connection to the 'Table006 (Page 5)' query in the workbook." type="5" refreshedVersion="0" background="1">
    <dbPr connection="Provider=Microsoft.Mashup.OleDb.1;Data Source=$Workbook$;Location=&quot;Table006 (Page 5)&quot;;Extended Properties=&quot;&quot;" command="SELECT * FROM [Table006 (Page 5)]"/>
  </connection>
  <connection id="7" xr16:uid="{EBF73BCA-3B8C-4580-94BE-F83BC5D7B787}" keepAlive="1" name="Query - Table007 (Page 6)" description="Connection to the 'Table007 (Page 6)' query in the workbook." type="5" refreshedVersion="0" background="1">
    <dbPr connection="Provider=Microsoft.Mashup.OleDb.1;Data Source=$Workbook$;Location=&quot;Table007 (Page 6)&quot;;Extended Properties=&quot;&quot;" command="SELECT * FROM [Table007 (Page 6)]"/>
  </connection>
  <connection id="8" xr16:uid="{BDB0A82D-B9F6-463E-B3A4-B56592F8154F}" keepAlive="1" name="Query - Table008 (Page 7)" description="Connection to the 'Table008 (Page 7)' query in the workbook." type="5" refreshedVersion="0" background="1">
    <dbPr connection="Provider=Microsoft.Mashup.OleDb.1;Data Source=$Workbook$;Location=&quot;Table008 (Page 7)&quot;;Extended Properties=&quot;&quot;" command="SELECT * FROM [Table008 (Page 7)]"/>
  </connection>
</connections>
</file>

<file path=xl/sharedStrings.xml><?xml version="1.0" encoding="utf-8"?>
<sst xmlns="http://schemas.openxmlformats.org/spreadsheetml/2006/main" count="2803" uniqueCount="1152">
  <si>
    <t>DESCRIPTION</t>
  </si>
  <si>
    <t>UNIT</t>
  </si>
  <si>
    <t>SS-120-3.1</t>
  </si>
  <si>
    <t>LS</t>
  </si>
  <si>
    <t>SS-140-5.1</t>
  </si>
  <si>
    <t>SS-152-5.1</t>
  </si>
  <si>
    <t>ACRE</t>
  </si>
  <si>
    <t>SS-210-5.1</t>
  </si>
  <si>
    <t>SY</t>
  </si>
  <si>
    <t>SS-210-5.2</t>
  </si>
  <si>
    <t>SS-210-5.3</t>
  </si>
  <si>
    <t>CY</t>
  </si>
  <si>
    <t>SS-270-5.1</t>
  </si>
  <si>
    <t>SS-300-5.1</t>
  </si>
  <si>
    <t>SS-301-5.1</t>
  </si>
  <si>
    <t>SS-301-5.2</t>
  </si>
  <si>
    <t>EA</t>
  </si>
  <si>
    <t>SS-301-5.3</t>
  </si>
  <si>
    <t>SS-301-5.4</t>
  </si>
  <si>
    <t>SS-301-5.5</t>
  </si>
  <si>
    <t>C-102-5.1</t>
  </si>
  <si>
    <t>LF</t>
  </si>
  <si>
    <t>C-102-5.2</t>
  </si>
  <si>
    <t>C-102-5.3</t>
  </si>
  <si>
    <t>C-102-5.4</t>
  </si>
  <si>
    <t>C-102-5.5</t>
  </si>
  <si>
    <t>C-102-5.6</t>
  </si>
  <si>
    <t>C-102-5.7</t>
  </si>
  <si>
    <t>C-105-6.1</t>
  </si>
  <si>
    <t>D-705-5.1</t>
  </si>
  <si>
    <t>D-705-5.2</t>
  </si>
  <si>
    <t>D-705-5.3</t>
  </si>
  <si>
    <t>D-705-5.4</t>
  </si>
  <si>
    <t>L-108-5.1</t>
  </si>
  <si>
    <t>L-108-5.2</t>
  </si>
  <si>
    <t>L-108-5.3</t>
  </si>
  <si>
    <t>L-108-5.4</t>
  </si>
  <si>
    <t>L-110-5.1</t>
  </si>
  <si>
    <t>L-110-5.2</t>
  </si>
  <si>
    <t>L-110-5.3</t>
  </si>
  <si>
    <t>L-115-5.1</t>
  </si>
  <si>
    <t>L-115-5.2</t>
  </si>
  <si>
    <t>L-125-5.1</t>
  </si>
  <si>
    <t>L-125-5.2</t>
  </si>
  <si>
    <t>L-125-5.3</t>
  </si>
  <si>
    <t>L-125-5.4</t>
  </si>
  <si>
    <t>P-152-4.1</t>
  </si>
  <si>
    <t>P-152-4.2</t>
  </si>
  <si>
    <t>P-207-5.1</t>
  </si>
  <si>
    <t>P-207-5.2</t>
  </si>
  <si>
    <t>P-401-8.1</t>
  </si>
  <si>
    <t>TON</t>
  </si>
  <si>
    <t>P-609-5.1</t>
  </si>
  <si>
    <t>GAL</t>
  </si>
  <si>
    <t>P-609-5.2</t>
  </si>
  <si>
    <t>P-609-5.3</t>
  </si>
  <si>
    <t>P-620-5.1</t>
  </si>
  <si>
    <t>SF</t>
  </si>
  <si>
    <t>P-620-5.2</t>
  </si>
  <si>
    <t>T-901-5.1</t>
  </si>
  <si>
    <t>T-904-5.1</t>
  </si>
  <si>
    <t>TOTALS</t>
  </si>
  <si>
    <t>ITEM NO.</t>
  </si>
  <si>
    <t>SPEC. NO.</t>
  </si>
  <si>
    <t>ESTIMATED QUANTITY</t>
  </si>
  <si>
    <t>ID:</t>
  </si>
  <si>
    <t>County:</t>
  </si>
  <si>
    <t>City:</t>
  </si>
  <si>
    <t>Grand Division:</t>
  </si>
  <si>
    <t>Airport:</t>
  </si>
  <si>
    <t>Project Description:</t>
  </si>
  <si>
    <t>TAD #:</t>
  </si>
  <si>
    <t>Bid Date:</t>
  </si>
  <si>
    <t>1M5</t>
  </si>
  <si>
    <t>Runway Rehabilitation</t>
  </si>
  <si>
    <t>ENGINEER'S ESTIMATE</t>
  </si>
  <si>
    <t>CLEARY CONSTRUCTION, INC.</t>
  </si>
  <si>
    <t>ROGERS GROUP, INC.</t>
  </si>
  <si>
    <t>NORRIS BROS. EXCAVATING</t>
  </si>
  <si>
    <t/>
  </si>
  <si>
    <t>C-105-1</t>
  </si>
  <si>
    <t>C-102-1</t>
  </si>
  <si>
    <t>P-151-1</t>
  </si>
  <si>
    <t>AC</t>
  </si>
  <si>
    <t>P-151-2</t>
  </si>
  <si>
    <t>P-151-3</t>
  </si>
  <si>
    <t>P-151-4</t>
  </si>
  <si>
    <t>P-151-5</t>
  </si>
  <si>
    <t>P-151-6</t>
  </si>
  <si>
    <t>T-901, 908-1</t>
  </si>
  <si>
    <t>C-105-2</t>
  </si>
  <si>
    <t>FYM</t>
  </si>
  <si>
    <t>Tree Clearing Project</t>
  </si>
  <si>
    <t>52-555-0164-20</t>
  </si>
  <si>
    <t>EXTENDED TOTAL</t>
  </si>
  <si>
    <t>EXTENDED TOTAL2</t>
  </si>
  <si>
    <t>BASE BID</t>
  </si>
  <si>
    <t>BASE BID (Runway Full Depth Reclamation B-II Width)</t>
  </si>
  <si>
    <t>SPEC NO.</t>
  </si>
  <si>
    <t>C-100-14.1</t>
  </si>
  <si>
    <t>Contractor Quality Control Program (CQCP)</t>
  </si>
  <si>
    <t>Temporary Erosion Control</t>
  </si>
  <si>
    <t>Mobilization</t>
  </si>
  <si>
    <t>6-Inch Perforated Underdrain Pipe</t>
  </si>
  <si>
    <t>6-Inch Non-Perforated Outlet Pipe</t>
  </si>
  <si>
    <t>Concrete Outlet Protector</t>
  </si>
  <si>
    <t>Unclassified Excavation (Embankment)</t>
  </si>
  <si>
    <t>Unsuitable Excavation</t>
  </si>
  <si>
    <t>P-207-5.3</t>
  </si>
  <si>
    <t>Bituminous Surface Course</t>
  </si>
  <si>
    <t>P-608-8.1</t>
  </si>
  <si>
    <t>Asphalt Surface Treatment</t>
  </si>
  <si>
    <t>Bituminous Material</t>
  </si>
  <si>
    <t>Chip Seal - First Application</t>
  </si>
  <si>
    <t>Chip Seal - Second Application</t>
  </si>
  <si>
    <t>P-620-5.4</t>
  </si>
  <si>
    <t>Pavement Marking Removal</t>
  </si>
  <si>
    <t>Sodding</t>
  </si>
  <si>
    <t>MRC</t>
  </si>
  <si>
    <t>CLEARY</t>
  </si>
  <si>
    <t>WRIGHT PAVING</t>
  </si>
  <si>
    <t>EUTAW</t>
  </si>
  <si>
    <t>Existing Concrete Encased, Electrical Junction Structure, Removed</t>
  </si>
  <si>
    <t>Existing Stake Mounted Edge Light, Removed</t>
  </si>
  <si>
    <t>Existing Base Mounted Guidance Sign, Removed</t>
  </si>
  <si>
    <t>Existing Runway End Identification Lights, Removed</t>
  </si>
  <si>
    <t>SS-301-5.6</t>
  </si>
  <si>
    <t>Existing Precision Approach Path Indicatory System, Removed</t>
  </si>
  <si>
    <t>SS-301-5.7</t>
  </si>
  <si>
    <t>SS-305-5.1</t>
  </si>
  <si>
    <t>Directional Boring, 2-Way 2"C Polyethylene Conduits</t>
  </si>
  <si>
    <t>SS-310-5.1</t>
  </si>
  <si>
    <t>No. 8 AWG, 5 kV, L-824, Type C Cable, Installed in Trench, Duct Bank or Conduit</t>
  </si>
  <si>
    <t>Trenching for Direct-Buried Bare Counterpoise Wire, 8" Minimum Depth</t>
  </si>
  <si>
    <t>L-108-5.5</t>
  </si>
  <si>
    <t>L-109-7.1</t>
  </si>
  <si>
    <t>L-109-7.2</t>
  </si>
  <si>
    <t>L-109-7.3</t>
  </si>
  <si>
    <t>L-109-7.4</t>
  </si>
  <si>
    <t>L-109-7.5</t>
  </si>
  <si>
    <t>L-109-7.6</t>
  </si>
  <si>
    <t>Non-Encased Electrical Duct Bank, 1-Way 2-inch C, 18-inch Minimum Cover</t>
  </si>
  <si>
    <t>L-115-5.3</t>
  </si>
  <si>
    <t>L-858(L) Base Mounted, Size 1, 2-Module Guidance Sign, Installed</t>
  </si>
  <si>
    <t>L-858(L) Base Mounted, Size 1, 3-Module Guidance Sign, Installed</t>
  </si>
  <si>
    <t>L-861(L) Base Mounted Runway Edge Light, Installed</t>
  </si>
  <si>
    <t>L-125-5.5</t>
  </si>
  <si>
    <t>L-861E(L) Base Mounted Runway Threshold Light, Installed</t>
  </si>
  <si>
    <t>L-125-5.7</t>
  </si>
  <si>
    <t>L-125-5.8</t>
  </si>
  <si>
    <t>Fayetteville</t>
  </si>
  <si>
    <t>Fayetteville Municipal</t>
  </si>
  <si>
    <t>Portland</t>
  </si>
  <si>
    <t>Portland Municipal</t>
  </si>
  <si>
    <t>Columbia/Mount Pleasant</t>
  </si>
  <si>
    <t>Maury County</t>
  </si>
  <si>
    <t>ESTIMATED QUANITITY</t>
  </si>
  <si>
    <t>ITEM_x000D_
NO.</t>
  </si>
  <si>
    <t>Existing Base Mounted Edge Light, Removed</t>
  </si>
  <si>
    <t>No. 6 AWG, Solid, Bare Copper Counterpoise Wire, Installed in Trench, Above the Duct_x000D_
Bank or Conduit, Including Connections/Terminations</t>
  </si>
  <si>
    <t>L-861T(L) Base Mounted Taxiway Edge Light, Installed</t>
  </si>
  <si>
    <t>AA3 TOTALS</t>
  </si>
  <si>
    <t>AA2 TOTALS</t>
  </si>
  <si>
    <t>AA1 TOTALS</t>
  </si>
  <si>
    <t>BASE BID TOTALS</t>
  </si>
  <si>
    <t>TOTAL ESTIMATE AND BIDS</t>
  </si>
  <si>
    <t xml:space="preserve">RSA Improvements and Runway Rehabilitation </t>
  </si>
  <si>
    <t>BASE BID (Runway Rehabilitation)</t>
  </si>
  <si>
    <t>BASE BID (Obstruction Removal)</t>
  </si>
  <si>
    <t>CURL CONSTRUCTION AND EXCAVATING, LLC</t>
  </si>
  <si>
    <t>CSV</t>
  </si>
  <si>
    <t>Runway 26 PAPI Replacement</t>
  </si>
  <si>
    <t>L-100-5.1</t>
  </si>
  <si>
    <t>Electrical Demolition</t>
  </si>
  <si>
    <t>STANSELL ELECTRIC COMPANY, INC.</t>
  </si>
  <si>
    <t>SOUTHEAST SITE SERVICES, LLC</t>
  </si>
  <si>
    <t>BASE BID (Runway 26 PAPI Replacement)</t>
  </si>
  <si>
    <t>L-880(L) LED, Style A, Class I, Precision Apporach Path Indicator (4-Box) with Connections</t>
  </si>
  <si>
    <t>Construction Safety And Security</t>
  </si>
  <si>
    <t>Demolition And Disposal - Civil</t>
  </si>
  <si>
    <t>Site Grading With Onsite Topsoil</t>
  </si>
  <si>
    <t>Milled Asphalt And Base Stone Removal And
Stockpile (Runway)</t>
  </si>
  <si>
    <t>Variable Depth Milling (A-3)</t>
  </si>
  <si>
    <t>Excess Material Haul-Off</t>
  </si>
  <si>
    <t>Rip Rap, Class A-1 (18" Depth) With Type Iv Geotextile
Filter Fabric</t>
  </si>
  <si>
    <t>Lockout/Tagout And Constant Current Regulator
Calibration Procedures</t>
  </si>
  <si>
    <t>Existing Runway/Taxiway Edge Lights, Removed</t>
  </si>
  <si>
    <t>Existing Base Mounted 2-Module Guidance Sign,
Removed</t>
  </si>
  <si>
    <t>Existing Base Mounted 2-Module Guidance Sign,
Installed On New Concrete Base</t>
  </si>
  <si>
    <t>Existing Cable And Conduit, Removed</t>
  </si>
  <si>
    <t>Existing Cable Removed From Conduit To Remain</t>
  </si>
  <si>
    <t>Tdot Silt Fence With Wire Backing</t>
  </si>
  <si>
    <t>Type D Catch Basin Inlet Protection</t>
  </si>
  <si>
    <t>Headwall Silt Trap</t>
  </si>
  <si>
    <t>18" Diameter Sediment Tube</t>
  </si>
  <si>
    <t>Tdot Erosion Control Blanket</t>
  </si>
  <si>
    <t>Temporary Sediment Trap</t>
  </si>
  <si>
    <t>Temporary Seeding</t>
  </si>
  <si>
    <t>6" Perforated Underdrain Pipe</t>
  </si>
  <si>
    <t>6" Non-Perforated Outfall Pipe</t>
  </si>
  <si>
    <t>6" Concrete Outler Protector</t>
  </si>
  <si>
    <t>Underdrain Cleanout</t>
  </si>
  <si>
    <t>#8 Awg, 5Kv, L-824C Cable, Installed In Duct Bank Or
Conduit</t>
  </si>
  <si>
    <t>#6 Awg, Solid Bare Counterpoise Wire, Installed In
Trench, Above Duct Bank Or Conduit, Including
Ground Rods And Ground Connectors</t>
  </si>
  <si>
    <t>No. 6 Awg, 600V, Thwn-2 Cable, Installed In Duct Bank
Or Conduit</t>
  </si>
  <si>
    <t>No. 8 Awg, 600V, Thwn-2 Cable, Green Insulated
Equipment Ground, Installed In Duct Bank Or
Conduit</t>
  </si>
  <si>
    <t>Non-Encased Electrical Conduit, 1W-2"C</t>
  </si>
  <si>
    <t>Concrete Encased Electrical Duct Bank, 2W-2"C</t>
  </si>
  <si>
    <t>Non-Encased Electrical Duct Bank, 2W-2"C</t>
  </si>
  <si>
    <t>Concrete Encased Electrical Junction Structure, L-867 Size 12" Diameter By 24" Depth</t>
  </si>
  <si>
    <t>Concrete Encased 2-Can Junction Can Plaza</t>
  </si>
  <si>
    <t>L-861E(L) Base Mounted Runway Threshold Light,
Installed</t>
  </si>
  <si>
    <t>L-858(L) Base Mounted, Size 1, 2-Module Guidance Sign</t>
  </si>
  <si>
    <t>Unclassified Excavation</t>
  </si>
  <si>
    <t>12" Depth Fdr Cement Treated Base</t>
  </si>
  <si>
    <t>12" Depth Fdr Cement Treated Base (In-Situ)</t>
  </si>
  <si>
    <t>Bituminous Asphalt Pavement</t>
  </si>
  <si>
    <t>Chip Seal - First Aplication Aggregate</t>
  </si>
  <si>
    <t>Chip Seal - Second Application Aggregate</t>
  </si>
  <si>
    <t>Pavement Marking - White With Reflective Media</t>
  </si>
  <si>
    <t>Pavement Marking - Yellow With Reflective Media</t>
  </si>
  <si>
    <t>Seeding With Hydro-Mulch</t>
  </si>
  <si>
    <t>Sodding (8' Width)</t>
  </si>
  <si>
    <t>Erosion Control - Silt Fence</t>
  </si>
  <si>
    <t>Clearing And Grubbing</t>
  </si>
  <si>
    <t>Clearing - Debris Removed</t>
  </si>
  <si>
    <t>Clearing - Debris Remain-In-Place</t>
  </si>
  <si>
    <t>Fencing Removal</t>
  </si>
  <si>
    <t>Demolition</t>
  </si>
  <si>
    <t>Tree Topping</t>
  </si>
  <si>
    <t>Seeding And Mulching</t>
  </si>
  <si>
    <t>Demobilization</t>
  </si>
  <si>
    <t>Demolition And Disposal</t>
  </si>
  <si>
    <t>Site Grading With On-Site Topsoil</t>
  </si>
  <si>
    <t>12" Depth Fdr Cement Treated Base (Stockpile)</t>
  </si>
  <si>
    <t>Stockpiled Fdr Base Course Material (Hauled Offsite)</t>
  </si>
  <si>
    <t>Pavement Markings - White W/ Reflective Media</t>
  </si>
  <si>
    <t>Pavement Markings - Yellow W/ Reflective Media</t>
  </si>
  <si>
    <t>Lockout/Tagout And Constant Current Regulator Calibration Procedures</t>
  </si>
  <si>
    <t>Existing Odals Tower Modification</t>
  </si>
  <si>
    <t>Papi &amp; Reil Flight Check Mobilization</t>
  </si>
  <si>
    <t>No. 8 Awg, 5 Kv, L-824, Type C Cable, Installed In Trench, Duct Bank Or Conduit</t>
  </si>
  <si>
    <t>No. 6 Awg, Solid, Bare Copper Counterpoise Wire, Installed In Trench, Above The Duct Bank Or Conduit, Including Connections/Terminations</t>
  </si>
  <si>
    <t>Trenching For Direct-Buried Bare Counterpoise Wire, 8" Minimum Depth</t>
  </si>
  <si>
    <t>No. 2/0 Awg Stranded, 600V Rated, Type Thhn/Thwn-2 Cable, Installed In Duct Bank Or Conduit</t>
  </si>
  <si>
    <t>No. 4 Awg Stranded, 600V Rated, Type Thhn/Thwn-2, Green Insulated Equipment Ground, Installed In Duct Bank Or Conduit</t>
  </si>
  <si>
    <t>Installation Of Airport Transformer Vault Equipment In Place</t>
  </si>
  <si>
    <t>Construction Of Prefabricated Vault Building And Foundation In Place</t>
  </si>
  <si>
    <t>Existing Airfield Electrical Removed From Terminal Building</t>
  </si>
  <si>
    <t>L-829, 4 Kw, Lighting Regulator, Installed In Place</t>
  </si>
  <si>
    <t>L-829, 5 Kw, Lighting Regulator, Installed In Place</t>
  </si>
  <si>
    <t>L-829, 7.5 Kw, Lighting Regulator, Installed In Place</t>
  </si>
  <si>
    <t>Non-Encased Electrical Duct Bank, 1-Way 2-Inch C, 18-Inch Minimum Cover</t>
  </si>
  <si>
    <t>Concrete Encased Electrical Conduit, 2-Way 2-Inch C, 24-Inch Minimum Cover</t>
  </si>
  <si>
    <t>Concrete Encased Electrical Conduit, 4-Way 2-Inch C, 18-Inch Minimum Cover</t>
  </si>
  <si>
    <t>L-867 Class 1, Size 16" Diameter By 24" Depth, Installed</t>
  </si>
  <si>
    <t>Electrical Junction Can Plaza, Two L-867D Cans With Drains And Appurtenances, Installed</t>
  </si>
  <si>
    <t>Electrical Junction Can Plaza, Three L-867D Cans With Drains And Appurtenances, Installed</t>
  </si>
  <si>
    <t>L-849E(L) Runway End Identification Lights System, Installed On Rw 6</t>
  </si>
  <si>
    <t>L-881(L) Precision Approach Path Indicator System, Installed On Runway 6</t>
  </si>
  <si>
    <t>L-881(L) Precision Approach Path Indicator System, Installed On Runway 24</t>
  </si>
  <si>
    <t>18-555-0154-22</t>
  </si>
  <si>
    <t>UNIT COST</t>
  </si>
  <si>
    <t>Mobilization (10% Max. of Total Costs)</t>
  </si>
  <si>
    <t>TS-5-5.1</t>
  </si>
  <si>
    <t>Implementation of Construction Safety Plan and_x000D_
Maintenance of Traffic</t>
  </si>
  <si>
    <t>C-102-5.1a</t>
  </si>
  <si>
    <t>Temporary Seeding and Mulching</t>
  </si>
  <si>
    <t>C-102-5.1f</t>
  </si>
  <si>
    <t>Silt Fence (Without Backing; Includes Installation and_x000D_
Removal)</t>
  </si>
  <si>
    <t>C-102-5.1j</t>
  </si>
  <si>
    <t>Erosion Control Blanket</t>
  </si>
  <si>
    <t>C-102-5.1k</t>
  </si>
  <si>
    <t>High-Visibilty Construction Fence</t>
  </si>
  <si>
    <t>C-102-5.1l</t>
  </si>
  <si>
    <t>Construction Entrance</t>
  </si>
  <si>
    <t>P-101-5.2</t>
  </si>
  <si>
    <t>Asphalt Pavement Crack Sealing, Type I</t>
  </si>
  <si>
    <t>P-101-5.3</t>
  </si>
  <si>
    <t>P-101-5.6</t>
  </si>
  <si>
    <t>Cold Milling (2" Asphalt Pavement)</t>
  </si>
  <si>
    <t>TS-3-4.1</t>
  </si>
  <si>
    <t>Water</t>
  </si>
  <si>
    <t>Borrow Excavation (Onsite Source)</t>
  </si>
  <si>
    <t>Asphalt Surface Course, 2" Min. Thickness</t>
  </si>
  <si>
    <t>P-401-8.3</t>
  </si>
  <si>
    <t>Asphalt Leveling Course (Variable Thickness)</t>
  </si>
  <si>
    <t>P-603-5.1</t>
  </si>
  <si>
    <t>Emulsified Asphalt Tack Coat</t>
  </si>
  <si>
    <t>Emulsified Asphalt Seal Coat</t>
  </si>
  <si>
    <t>P-608-8.2</t>
  </si>
  <si>
    <t>Runway Friction Testing</t>
  </si>
  <si>
    <t>Initial Coat Pavement Marking, White &amp; Yellow, Non-Reflectorized, 50% Full Application Rate (After Asphalt_x000D_
Overlay &amp; Prior to Sealcoat Application)</t>
  </si>
  <si>
    <t>Initial Coat Pavement Marking, White &amp; Yellow, Non-Reflectorized, 50% Full Application Rate (After Sealcoat_x000D_
Application)</t>
  </si>
  <si>
    <t>P-620-5.3</t>
  </si>
  <si>
    <t>Final Pavement Marking, White &amp; Yellow, Reflectorized,_x000D_
100% Application Rate</t>
  </si>
  <si>
    <t>Final Pavement Marking, Black, Non-Reflectorized, 100%_x000D_
Application Rate</t>
  </si>
  <si>
    <t>P-620-5.6</t>
  </si>
  <si>
    <t>Reflective Media, Type I</t>
  </si>
  <si>
    <t>LB</t>
  </si>
  <si>
    <t>Seeding</t>
  </si>
  <si>
    <t>T-905-5.1</t>
  </si>
  <si>
    <t>Topsoiling (Stockpiled Onsite)</t>
  </si>
  <si>
    <t>Trenching for Direct-Buried Conduit, 18-inch Minimum_x000D_
Depth</t>
  </si>
  <si>
    <t>No. 8 AWG, 5 kV, L-824, Type C Cable, Installed in_x000D_
Trench, Duct Bank or Conduit</t>
  </si>
  <si>
    <t>No. 6 AWG, Solid, Bare Copper Counterpoise Wire,_x000D_
Installed in Trench, Above the Duct Bank or Conduit,_x000D_
Including Connections/Terminations</t>
  </si>
  <si>
    <t>No. 18 AWG, 600 Volt, Installed in Conduit</t>
  </si>
  <si>
    <t>Construction of Airport Transformer Vault in Place</t>
  </si>
  <si>
    <t>15KW Regulator</t>
  </si>
  <si>
    <t>Service Entrance Rated Automatic Transfer Switch</t>
  </si>
  <si>
    <t>45 KVA Generator</t>
  </si>
  <si>
    <t>FAA Radio</t>
  </si>
  <si>
    <t>Non-Encased, Electrical Conduit, 1 Way, 2"</t>
  </si>
  <si>
    <t>Electrical Junction Can in Turf</t>
  </si>
  <si>
    <t>L-861(L), Medium Intensity Elevated Runway Edge Light,_x000D_
LED, Color Clear-Yellow, Base Mounted</t>
  </si>
  <si>
    <t>L-861(L), Medium Intensity Elevated Runway Edge Light,_x000D_
LED, Color Clear-Clear, Base Mounted</t>
  </si>
  <si>
    <t>L-861E (L) Medium Intensity Elevated Runway Threshold_x000D_
Light, LED, Color Red-Green, Base Mounted</t>
  </si>
  <si>
    <t>L-861E (L) Medium Intensity Elevated Runway Displaced_x000D_
Threshold Light, LED, Color Green-Yellow, Base Mounted</t>
  </si>
  <si>
    <t>L-861E (L) Medium Intensity Elevated Runway Displaced_x000D_
Threshold Light, LED, Color Green-Unidirectional, Base_x000D_
Mounted</t>
  </si>
  <si>
    <t>L-125-5.6</t>
  </si>
  <si>
    <t>L-861E (L) Medium Intensity Elevated Runway Threshold_x000D_
End Light, LED, Color Red-Red, Base Mounted</t>
  </si>
  <si>
    <t>L-861T (L) Medium Intensity Elevated Taxiway Edge Light,_x000D_
LED, Color Blue, Base Mounted</t>
  </si>
  <si>
    <t>L-861(L), Medium Intensity Elevated Runway Edge Light,_x000D_
LED, Color Clear-Yellow (Fixture Only, To Be Supplied As_x000D_
A Spare)</t>
  </si>
  <si>
    <t>L-125-5.9</t>
  </si>
  <si>
    <t>L-861T (L) Medium Intensity Elevated Taxiway Edge Light,_x000D_
LED, Color Blue (Fixture Only, To Be Supplied As A Spare)</t>
  </si>
  <si>
    <t>L-150-5.1</t>
  </si>
  <si>
    <t>L-849I, Style B REIL, In-Place, Tested and Assistance_x000D_
During Flight Inspection By FAA</t>
  </si>
  <si>
    <t>TS-102-4.1</t>
  </si>
  <si>
    <t>Removal of Existing Airport Lighting Fixtures,_x000D_
Transformers, Conductors, Conduit, Concrete Foundations,_x000D_
and All Miscellaneous Electrical Items</t>
  </si>
  <si>
    <t>Mobilization (10% (Max.) of Total Costs)</t>
  </si>
  <si>
    <t>TS-10-5.1</t>
  </si>
  <si>
    <t>Riprap, Class 2, 15" Min. Layer Thickness, Including Fabric</t>
  </si>
  <si>
    <t>Unclassified Excavation (Shoulder Build-up)</t>
  </si>
  <si>
    <t>P-152-4.4</t>
  </si>
  <si>
    <t>Undercut and Related Backfill (for Unknown Unsuitable_x000D_
Subgrade Material)</t>
  </si>
  <si>
    <t>P-152-4.5</t>
  </si>
  <si>
    <t>Geotextile Fabric for Bridging Unsuitable Material_x000D_
(Potential Patching)</t>
  </si>
  <si>
    <t>In-Place Full Depth Reclamation (FDR) Asphalt Aggregate_x000D_
Base Course (16 Inch Min. Pulverization Depth, Excavated_x000D_
to Grade, 12 Inch Min. Mix Depth)</t>
  </si>
  <si>
    <t>Cement</t>
  </si>
  <si>
    <t>P-401-8.2</t>
  </si>
  <si>
    <t>Asphalt Surface Course, 2 - 2 Inch Lifts (4" Total Min._x000D_
Compacted Thickness)</t>
  </si>
  <si>
    <t>P-602-5.1</t>
  </si>
  <si>
    <t>Emulsified Asphalt Prime Coat</t>
  </si>
  <si>
    <t>P-620-5.5</t>
  </si>
  <si>
    <t>Pavement Marking, Yellow, Non-Reflectorized, Full_x000D_
Application Rate</t>
  </si>
  <si>
    <t>D-701-5.1</t>
  </si>
  <si>
    <t>30 Inch Diameter Pipe, Class III</t>
  </si>
  <si>
    <t>D-752-5.1</t>
  </si>
  <si>
    <t>Headwall (Slope Paved) for 30 Inch Pipe</t>
  </si>
  <si>
    <t>Emulsified Asphalt Seal Coat (Deduct Item)</t>
  </si>
  <si>
    <t>Runway Friction Testing (Deduct Item)</t>
  </si>
  <si>
    <t>P-629-8.1</t>
  </si>
  <si>
    <t>Thermoplastic Coal Tar Emulsion, Micro-Surface Type B_x000D_
Seal Coat</t>
  </si>
  <si>
    <t>3M7</t>
  </si>
  <si>
    <t>Runway Rehabilitation and Entrance Road Reconstruction</t>
  </si>
  <si>
    <t>UNIT COST2</t>
  </si>
  <si>
    <t>ADD ALTERNATE 2 (Alternate Seal Coat Material)</t>
  </si>
  <si>
    <t>EXTENDED TOTAL3</t>
  </si>
  <si>
    <t>BASE BID + AA1</t>
  </si>
  <si>
    <t>BASE BID + AA1 + AA2</t>
  </si>
  <si>
    <t>M02</t>
  </si>
  <si>
    <t>Airfield Lighting Replacement</t>
  </si>
  <si>
    <t>Base Bid Date:</t>
  </si>
  <si>
    <t>AA1 Bid Date</t>
  </si>
  <si>
    <t>Contractor's Quality Control Program</t>
  </si>
  <si>
    <t>C-100-14.2</t>
  </si>
  <si>
    <t>Erosion and Sediment Control</t>
  </si>
  <si>
    <t>C-105-8.1</t>
  </si>
  <si>
    <t>Mobilization/Demobilization</t>
  </si>
  <si>
    <t>C-105-8.2</t>
  </si>
  <si>
    <t>Bonds and Insurance</t>
  </si>
  <si>
    <t>C-105-8.3</t>
  </si>
  <si>
    <t>Construction Layout</t>
  </si>
  <si>
    <t>C-105-8.4</t>
  </si>
  <si>
    <t>As-Built Drawings and Field Revisions</t>
  </si>
  <si>
    <t>M-104-6.1</t>
  </si>
  <si>
    <t>P-101-5.1</t>
  </si>
  <si>
    <t>Remove and Dispose of Existing Threshold Lights</t>
  </si>
  <si>
    <t>Remove and Dispose of Existing 2-Light PAPI Enclosures</t>
  </si>
  <si>
    <t>Remove and Dispose of Existing Base Mounted Rnwy Edge Lights</t>
  </si>
  <si>
    <t>P-101-5.4</t>
  </si>
  <si>
    <t>Remove and Dispose of Existing Stake Mounted Rnwy Edge Lights</t>
  </si>
  <si>
    <t>P-101-5.7</t>
  </si>
  <si>
    <t>Remove and Dispose of Exisitng Regulators</t>
  </si>
  <si>
    <t>P-101-5.8</t>
  </si>
  <si>
    <t>P-101-5.9</t>
  </si>
  <si>
    <t>Remove Existing Electrical Circuit</t>
  </si>
  <si>
    <t>L-108-5.6</t>
  </si>
  <si>
    <t>L-828 Constant Current Regulators</t>
  </si>
  <si>
    <t>1-Way 2" Electrical Conduit - Trenched</t>
  </si>
  <si>
    <t>2-Way 2" Electrical Conduit -Trenched</t>
  </si>
  <si>
    <t>L-110-5.4</t>
  </si>
  <si>
    <t>4-Way 2" Electrical Duct Bank - Directional Bore</t>
  </si>
  <si>
    <t>Airfield Rated Electrical Manhole, 3' x 3' x 48" Deep</t>
  </si>
  <si>
    <t>L-867 Base Can, Used as Hand Hole, Solid Cover</t>
  </si>
  <si>
    <t>L-861 LED Elevated MIRL Threshold/End Light installed on New L-867 Base Can</t>
  </si>
  <si>
    <t>L-125-5.5A</t>
  </si>
  <si>
    <t>L-894 (L) LED, Style C, Runway End Indicator Light REIL System</t>
  </si>
  <si>
    <t>L-806-5.1</t>
  </si>
  <si>
    <t>Lighted Wind Cone and Wind Cone Assembly</t>
  </si>
  <si>
    <t>L-854</t>
  </si>
  <si>
    <t>Pilot Controlled Lighting System</t>
  </si>
  <si>
    <t>Spread Topsoil (Stockpiled on site)</t>
  </si>
  <si>
    <t xml:space="preserve">UNIT COST </t>
  </si>
  <si>
    <t>SOUTHEAST SITE SERVICES, LLC.</t>
  </si>
  <si>
    <t>FAST ELECTRIC</t>
  </si>
  <si>
    <t>STANSEL ELECTRIC CO., INC.</t>
  </si>
  <si>
    <t>APPALACHIAN FOOTHILLS CONTRACTING, INC.</t>
  </si>
  <si>
    <t>BASE BID (Airfield Lighting Replacement - Vault, Homerun, &amp; Runway)</t>
  </si>
  <si>
    <t>Maintenance of Traffic , Incl. Barricades, &amp; Rnwy Closure "X's" (Owner Supplied)</t>
  </si>
  <si>
    <t>Rehabilitate Area Used as Haul Route Around Airport, and Staging Area</t>
  </si>
  <si>
    <t>Remove and Dispose of Existing Directional Signs, Including Foundations</t>
  </si>
  <si>
    <t>No. 8 AWG, 5 kV, L-824, Type C Cable - Rnwy Circuit - Incl. Homerun - Installed in Conduit or Duct Bank</t>
  </si>
  <si>
    <t>No. 8 AWG, 5 kV, L-824, Type C Cable - PAPI Circuit - Incl. Homerun - Installed in Conduit or Duct Bank</t>
  </si>
  <si>
    <t>No. 6 AWG, Solid, Bare Copper Counterpoise Wire Incl. Connections/Terminations and Ground Rods</t>
  </si>
  <si>
    <t>Concrete Electrical Vault, Deilvered, Installed on Prepared Foundation, Components Set-Up, Incl. Primary Power Connection</t>
  </si>
  <si>
    <t>L-861 LED Elevated MIRL Edge Light Installed on New L-867 Base Can</t>
  </si>
  <si>
    <t>L-881 LED PAPI, 2-Light Control Cabinet, Installed on L-867 Base Can</t>
  </si>
  <si>
    <t>L-858 Guidance Sign, Size 2, Class 2, 3-Module, with L-867 Base Can and Concrete Foundation</t>
  </si>
  <si>
    <t>Unlit L-858 Guidance Sign, Size 2, Class 2, 2-Module, with L-867 Base Can and Concrete Foundation</t>
  </si>
  <si>
    <t>UNIT COST4</t>
  </si>
  <si>
    <t>EXTENDED TOTAL5</t>
  </si>
  <si>
    <t>UNIT COST6</t>
  </si>
  <si>
    <t>EXTENDED TOTAL7</t>
  </si>
  <si>
    <t>EXTENDED TOTAL8</t>
  </si>
  <si>
    <t>Rehabilitate Area Used as Haul Route Around Airport, and Staging_x000D_
Area</t>
  </si>
  <si>
    <t>Maintenance of Traffic , Incl. Barricades</t>
  </si>
  <si>
    <t>P-101-5.5</t>
  </si>
  <si>
    <t>Remove and Dispose of Existing Base Mounted Txwy Edge Lights</t>
  </si>
  <si>
    <t>Remove and Dispose of Existing Stake Mounted Txwy Edge Lights</t>
  </si>
  <si>
    <t>No. 8 AWG, 5 kV, L-824, Type C Cable - Txwy Circuit - Incl._x000D_
Homerun - Installed in Conduit or Duct Bank</t>
  </si>
  <si>
    <t>No. 6 AWG, Solid, Bare Copper Counterpoise Wire Incl._x000D_
Connections/Terminations and Ground Rods</t>
  </si>
  <si>
    <t>L-861 LED Elevated MITL Edge Light Installed on New L-867 Base_x000D_
Can</t>
  </si>
  <si>
    <t>L-125-5.5a</t>
  </si>
  <si>
    <t>L-858 Guidance Sign, Size 2, Class 2, 2-Module, with L-867 Base_x000D_
Can and Concrete Foundation</t>
  </si>
  <si>
    <t>L-125-5.5b</t>
  </si>
  <si>
    <t>Unlit L-858 Guidance Sign, Size 2, Class 2, 2-Module, with_x000D_
Concrete Foundation</t>
  </si>
  <si>
    <t>L-864 Elevated Reflective Taxiway Markers, Stake Mounted</t>
  </si>
  <si>
    <t>ADD ALTERNATE 1 (Airfield Lighting Replacement - Vault, Homerun, &amp; Taxiway)</t>
  </si>
  <si>
    <t>DKX</t>
  </si>
  <si>
    <t>Runway, Taxiway, and Electrical Rehabilitation</t>
  </si>
  <si>
    <t>Project Description</t>
  </si>
  <si>
    <t>TAD #</t>
  </si>
  <si>
    <t>Airport</t>
  </si>
  <si>
    <t>City</t>
  </si>
  <si>
    <t>ID and Link to Sheet</t>
  </si>
  <si>
    <t>Crossville</t>
  </si>
  <si>
    <t>Crossville Memorial-Whitson Field</t>
  </si>
  <si>
    <t>Lafayette</t>
  </si>
  <si>
    <t>Lafayette Municipal</t>
  </si>
  <si>
    <t>Dickson</t>
  </si>
  <si>
    <t>Dickson Municipal</t>
  </si>
  <si>
    <t>Knoxville</t>
  </si>
  <si>
    <t>Knoxville Downtown Island</t>
  </si>
  <si>
    <t>ADD ALTERNATE 1 (Runway Full Depth Reclamation C-II Width)</t>
  </si>
  <si>
    <t>ADD ALTERNATE 2 (Medium Intensity Runway Edge Lights, Signage and Vault Work)</t>
  </si>
  <si>
    <t>ADD ALTERNATE 3 (Medium Intensity Taxiway Edge Lights)</t>
  </si>
  <si>
    <t>ADD ALTERNATE 1 (Entrance Road Reconstruction)</t>
  </si>
  <si>
    <t>UNIT COST3</t>
  </si>
  <si>
    <t>EXTENDED TOTAL4</t>
  </si>
  <si>
    <t>1000SF</t>
  </si>
  <si>
    <t>BASE BID (Runway, Taxiway, and Electrical Rehabilitation)</t>
  </si>
  <si>
    <t>Sumner</t>
  </si>
  <si>
    <t>Middle</t>
  </si>
  <si>
    <t>Lincoln</t>
  </si>
  <si>
    <t>Maury</t>
  </si>
  <si>
    <t>Cumberland</t>
  </si>
  <si>
    <t>East</t>
  </si>
  <si>
    <t>Macon</t>
  </si>
  <si>
    <t>Knox</t>
  </si>
  <si>
    <t>ID</t>
  </si>
  <si>
    <t>County</t>
  </si>
  <si>
    <t>G. Div.</t>
  </si>
  <si>
    <t>0A3</t>
  </si>
  <si>
    <t>Dekalb</t>
  </si>
  <si>
    <t>Smithville</t>
  </si>
  <si>
    <t>Smithville Municipal</t>
  </si>
  <si>
    <t>0A4</t>
  </si>
  <si>
    <t>Washington</t>
  </si>
  <si>
    <t>Johnson City</t>
  </si>
  <si>
    <t>0A9</t>
  </si>
  <si>
    <t>Carter</t>
  </si>
  <si>
    <t>Elizabethton</t>
  </si>
  <si>
    <t>Elizabethton Municipal</t>
  </si>
  <si>
    <t>0M2</t>
  </si>
  <si>
    <t>Lake</t>
  </si>
  <si>
    <t>Tiptonville</t>
  </si>
  <si>
    <t>Reelfoot Lake</t>
  </si>
  <si>
    <t>West</t>
  </si>
  <si>
    <t>0M3</t>
  </si>
  <si>
    <t>Lewis</t>
  </si>
  <si>
    <t>Hohenwald</t>
  </si>
  <si>
    <t>John A. Baker Field</t>
  </si>
  <si>
    <t>0M4</t>
  </si>
  <si>
    <t>Benton</t>
  </si>
  <si>
    <t>Camden</t>
  </si>
  <si>
    <t>Benton County</t>
  </si>
  <si>
    <t>0M5</t>
  </si>
  <si>
    <t>Humphreys</t>
  </si>
  <si>
    <t>Waverly</t>
  </si>
  <si>
    <t>Humphreys County</t>
  </si>
  <si>
    <t>1A0</t>
  </si>
  <si>
    <t>Hamilton</t>
  </si>
  <si>
    <t>Chattanooga</t>
  </si>
  <si>
    <t>Dallas Bay Skypark</t>
  </si>
  <si>
    <t>1A3</t>
  </si>
  <si>
    <t>Polk</t>
  </si>
  <si>
    <t>Copperhill</t>
  </si>
  <si>
    <t>Martin Campbell Field</t>
  </si>
  <si>
    <t>1A7</t>
  </si>
  <si>
    <t>Jackson</t>
  </si>
  <si>
    <t>Gainesboro</t>
  </si>
  <si>
    <t>Jackson County</t>
  </si>
  <si>
    <t>2A0</t>
  </si>
  <si>
    <t>Rhea</t>
  </si>
  <si>
    <t>Dayton</t>
  </si>
  <si>
    <t>Mark Anton Airport</t>
  </si>
  <si>
    <t>2A1</t>
  </si>
  <si>
    <t>Fentress</t>
  </si>
  <si>
    <t>Jamestown</t>
  </si>
  <si>
    <t>Jamestown Municipal</t>
  </si>
  <si>
    <t>2M2</t>
  </si>
  <si>
    <t>Lawrence</t>
  </si>
  <si>
    <t>Lawrenceburg</t>
  </si>
  <si>
    <t>Lawrenceburg-Lawrence County</t>
  </si>
  <si>
    <t>2M8</t>
  </si>
  <si>
    <t>Shelby</t>
  </si>
  <si>
    <t>Millington</t>
  </si>
  <si>
    <t>Charles W. Baker</t>
  </si>
  <si>
    <t>3A2</t>
  </si>
  <si>
    <t>Claiborne</t>
  </si>
  <si>
    <t>Tazewell</t>
  </si>
  <si>
    <t>New Tazewell Municipal</t>
  </si>
  <si>
    <t>50M</t>
  </si>
  <si>
    <t>Bedford</t>
  </si>
  <si>
    <t>Eagleville</t>
  </si>
  <si>
    <t>Puckett</t>
  </si>
  <si>
    <t>54M</t>
  </si>
  <si>
    <t>Fayette</t>
  </si>
  <si>
    <t>Rossville</t>
  </si>
  <si>
    <t>Wolf River</t>
  </si>
  <si>
    <t>6A4</t>
  </si>
  <si>
    <t>Johnson</t>
  </si>
  <si>
    <t>Mountain City</t>
  </si>
  <si>
    <t>Johnson County</t>
  </si>
  <si>
    <t>8A3</t>
  </si>
  <si>
    <t>Overton</t>
  </si>
  <si>
    <t>Livingston</t>
  </si>
  <si>
    <t>Livingston Municipal</t>
  </si>
  <si>
    <t>92A</t>
  </si>
  <si>
    <t>Chilhowee Gliderport</t>
  </si>
  <si>
    <t>APT</t>
  </si>
  <si>
    <t>Marion</t>
  </si>
  <si>
    <t>Jasper</t>
  </si>
  <si>
    <t>Marion County-Brown Field</t>
  </si>
  <si>
    <t>BGF</t>
  </si>
  <si>
    <t>Franklin</t>
  </si>
  <si>
    <t>Winchester</t>
  </si>
  <si>
    <t>Winchester Municipal</t>
  </si>
  <si>
    <t>BNA</t>
  </si>
  <si>
    <t>Davidson</t>
  </si>
  <si>
    <t>Nashville</t>
  </si>
  <si>
    <t>Nashville International</t>
  </si>
  <si>
    <t>CHA</t>
  </si>
  <si>
    <t>Lovell Field</t>
  </si>
  <si>
    <t>CKV</t>
  </si>
  <si>
    <t>Montgomery</t>
  </si>
  <si>
    <t>Clarksville</t>
  </si>
  <si>
    <t>Outlaw Field</t>
  </si>
  <si>
    <t>DYR</t>
  </si>
  <si>
    <t>Dyer</t>
  </si>
  <si>
    <t>Dyersburg</t>
  </si>
  <si>
    <t>Dyersburg Regional Airport</t>
  </si>
  <si>
    <t>FGU</t>
  </si>
  <si>
    <t>Collegedale</t>
  </si>
  <si>
    <t>Collegedale Municipal</t>
  </si>
  <si>
    <t>FYE</t>
  </si>
  <si>
    <t>Somerville</t>
  </si>
  <si>
    <t>Fayette County</t>
  </si>
  <si>
    <t>GCY</t>
  </si>
  <si>
    <t>Greene</t>
  </si>
  <si>
    <t>Greeneville</t>
  </si>
  <si>
    <t>Greeneville-Greene County Municipal</t>
  </si>
  <si>
    <t>GHM</t>
  </si>
  <si>
    <t>Hickman</t>
  </si>
  <si>
    <t>Centerville</t>
  </si>
  <si>
    <t>Centerville Municipal</t>
  </si>
  <si>
    <t>GKT</t>
  </si>
  <si>
    <t>Sevier</t>
  </si>
  <si>
    <t>Sevierville</t>
  </si>
  <si>
    <t>Gatlinburg-Pigeon Forge</t>
  </si>
  <si>
    <t>GZS</t>
  </si>
  <si>
    <t>Giles</t>
  </si>
  <si>
    <t>Pulaski</t>
  </si>
  <si>
    <t>Abernathy Field</t>
  </si>
  <si>
    <t>HZD</t>
  </si>
  <si>
    <t>Carroll</t>
  </si>
  <si>
    <t>Huntingdon</t>
  </si>
  <si>
    <t>Carroll County</t>
  </si>
  <si>
    <t>JAU</t>
  </si>
  <si>
    <t>Campbell</t>
  </si>
  <si>
    <t>Jacksboro</t>
  </si>
  <si>
    <t>Campbell County</t>
  </si>
  <si>
    <t>JWN</t>
  </si>
  <si>
    <t>John C. Tune</t>
  </si>
  <si>
    <t>LUG</t>
  </si>
  <si>
    <t>Marshall</t>
  </si>
  <si>
    <t>Lewisburg</t>
  </si>
  <si>
    <t>Ellington</t>
  </si>
  <si>
    <t>M01</t>
  </si>
  <si>
    <t>Memphis</t>
  </si>
  <si>
    <t>General Dewitt Spain</t>
  </si>
  <si>
    <t>M04</t>
  </si>
  <si>
    <t>Tipton</t>
  </si>
  <si>
    <t>Covington</t>
  </si>
  <si>
    <t>Covington Municipal</t>
  </si>
  <si>
    <t>M08</t>
  </si>
  <si>
    <t>Hardeman</t>
  </si>
  <si>
    <t>Bolivar</t>
  </si>
  <si>
    <t>William L. Whitehurst Field</t>
  </si>
  <si>
    <t>M15</t>
  </si>
  <si>
    <t>Perry</t>
  </si>
  <si>
    <t>Linden</t>
  </si>
  <si>
    <t>James Tucker Airport</t>
  </si>
  <si>
    <t>M29</t>
  </si>
  <si>
    <t>Wayne</t>
  </si>
  <si>
    <t>Clifton</t>
  </si>
  <si>
    <t>Hassell Field</t>
  </si>
  <si>
    <t>M31</t>
  </si>
  <si>
    <t>Lauderdale</t>
  </si>
  <si>
    <t>Halls</t>
  </si>
  <si>
    <t>Arnold Field</t>
  </si>
  <si>
    <t>M53</t>
  </si>
  <si>
    <t>Gibson</t>
  </si>
  <si>
    <t>Humboldt</t>
  </si>
  <si>
    <t>Humboldt Municipal</t>
  </si>
  <si>
    <t>M54</t>
  </si>
  <si>
    <t>Wilson</t>
  </si>
  <si>
    <t>Lebanon</t>
  </si>
  <si>
    <t>Lebanon Municipal</t>
  </si>
  <si>
    <t>M91</t>
  </si>
  <si>
    <t>Robertson</t>
  </si>
  <si>
    <t>Springfield</t>
  </si>
  <si>
    <t>Springfield-Robertson County</t>
  </si>
  <si>
    <t>M93</t>
  </si>
  <si>
    <t>Houston</t>
  </si>
  <si>
    <t>Mckinnon</t>
  </si>
  <si>
    <t>Houston County</t>
  </si>
  <si>
    <t>MBT</t>
  </si>
  <si>
    <t>Rutherford</t>
  </si>
  <si>
    <t>Murfreesboro</t>
  </si>
  <si>
    <t>Murfreesboro Municipal</t>
  </si>
  <si>
    <t>MEM</t>
  </si>
  <si>
    <t>Memphis International</t>
  </si>
  <si>
    <t>MKL</t>
  </si>
  <si>
    <t>Madison</t>
  </si>
  <si>
    <t>McKellar-Sipes Regional</t>
  </si>
  <si>
    <t>MMI</t>
  </si>
  <si>
    <t>Mcminn</t>
  </si>
  <si>
    <t>Athens</t>
  </si>
  <si>
    <t>Mcminn County</t>
  </si>
  <si>
    <t>MNV</t>
  </si>
  <si>
    <t>Monroe</t>
  </si>
  <si>
    <t>Madisonville</t>
  </si>
  <si>
    <t>Monroe County</t>
  </si>
  <si>
    <t>MOR</t>
  </si>
  <si>
    <t>Hamblen</t>
  </si>
  <si>
    <t>Morristown</t>
  </si>
  <si>
    <t>Moore-Murrell Field</t>
  </si>
  <si>
    <t>MQY</t>
  </si>
  <si>
    <t>Smyrna</t>
  </si>
  <si>
    <t>Smyrna Airport</t>
  </si>
  <si>
    <t>NQA</t>
  </si>
  <si>
    <t>Millington Regional Jetport</t>
  </si>
  <si>
    <t>PHT</t>
  </si>
  <si>
    <t>Henry</t>
  </si>
  <si>
    <t>Paris</t>
  </si>
  <si>
    <t>Henry County</t>
  </si>
  <si>
    <t>PVE</t>
  </si>
  <si>
    <t>Henderson</t>
  </si>
  <si>
    <t>Lexington-Parsons</t>
  </si>
  <si>
    <t>Beech River Regional</t>
  </si>
  <si>
    <t>RKW</t>
  </si>
  <si>
    <t>Morgan</t>
  </si>
  <si>
    <t>Rockwood</t>
  </si>
  <si>
    <t>Rockwood Municipal</t>
  </si>
  <si>
    <t>RNC</t>
  </si>
  <si>
    <t>Warren</t>
  </si>
  <si>
    <t>Mcminnville</t>
  </si>
  <si>
    <t>Warren County Memorial</t>
  </si>
  <si>
    <t>RVN</t>
  </si>
  <si>
    <t>Hawkins</t>
  </si>
  <si>
    <t>Rogersville</t>
  </si>
  <si>
    <t>Hawkins County</t>
  </si>
  <si>
    <t>RZR</t>
  </si>
  <si>
    <t>Bradley</t>
  </si>
  <si>
    <t>Cleveland</t>
  </si>
  <si>
    <t>Cleveland Regional Jetport</t>
  </si>
  <si>
    <t>SCX</t>
  </si>
  <si>
    <t>Scott</t>
  </si>
  <si>
    <t>Oneida</t>
  </si>
  <si>
    <t>Scott Municipal</t>
  </si>
  <si>
    <t>SNH</t>
  </si>
  <si>
    <t>Hardin</t>
  </si>
  <si>
    <t>Savannah</t>
  </si>
  <si>
    <t>Savannah-Hardin County</t>
  </si>
  <si>
    <t>SRB</t>
  </si>
  <si>
    <t>White</t>
  </si>
  <si>
    <t>Sparta</t>
  </si>
  <si>
    <t>Upper Cumberland Regional</t>
  </si>
  <si>
    <t>SYI</t>
  </si>
  <si>
    <t>Shelbyville</t>
  </si>
  <si>
    <t>Bomar Field-Shelbyville Municipal</t>
  </si>
  <si>
    <t>SZY</t>
  </si>
  <si>
    <t>Mcnairy</t>
  </si>
  <si>
    <t>Selmer</t>
  </si>
  <si>
    <t>Robert Sibley</t>
  </si>
  <si>
    <t>TGC</t>
  </si>
  <si>
    <t>Trenton</t>
  </si>
  <si>
    <t>Gibson County</t>
  </si>
  <si>
    <t>THA</t>
  </si>
  <si>
    <t>Coffee</t>
  </si>
  <si>
    <t>Tullahoma</t>
  </si>
  <si>
    <t>Tullahoma Regional/Wm Northern Field</t>
  </si>
  <si>
    <t>TRI</t>
  </si>
  <si>
    <t>Sullivan</t>
  </si>
  <si>
    <t>Bristol/Johnson/Kingsport</t>
  </si>
  <si>
    <t>Tri-Cities Regional</t>
  </si>
  <si>
    <t>TYS</t>
  </si>
  <si>
    <t>Blount</t>
  </si>
  <si>
    <t>Mcghee Tyson</t>
  </si>
  <si>
    <t>UCY</t>
  </si>
  <si>
    <t>Obion</t>
  </si>
  <si>
    <t>Union City</t>
  </si>
  <si>
    <t>Everett-Stewart Regional</t>
  </si>
  <si>
    <t>UOS</t>
  </si>
  <si>
    <t>Sewanee</t>
  </si>
  <si>
    <t>Franklin County</t>
  </si>
  <si>
    <t>XNX</t>
  </si>
  <si>
    <t>Gallatin</t>
  </si>
  <si>
    <t>Music City Executive</t>
  </si>
  <si>
    <t>Bid 1 Date:</t>
  </si>
  <si>
    <t>Bid 2 Date:</t>
  </si>
  <si>
    <t>56-555-0753-22</t>
  </si>
  <si>
    <t>47-555-0795-22</t>
  </si>
  <si>
    <t>83-555-0131-22</t>
  </si>
  <si>
    <t xml:space="preserve">	22-555-0164-22</t>
  </si>
  <si>
    <t>60-555-0550-18</t>
  </si>
  <si>
    <t>Entrance Road, Parking Lot, and Apron Rehab</t>
  </si>
  <si>
    <t>SC-5-5.1</t>
  </si>
  <si>
    <t>Implementation of Construction Safety Plan</t>
  </si>
  <si>
    <t>Silt Fence (Without Backing; Includes Installation and Removal)</t>
  </si>
  <si>
    <t>P-101-5.1.1</t>
  </si>
  <si>
    <t>Asphalt Pavement Removal (Parking Lot Full Depth Repairs), 3.5" Typ. Thickness</t>
  </si>
  <si>
    <t>P-101-5.1.2</t>
  </si>
  <si>
    <t>Concrete Pavement Removal (Fueling Pad), 6" Typ. Thickness</t>
  </si>
  <si>
    <t>P-101-5.1.3</t>
  </si>
  <si>
    <t>Pavement Removal (FBO Hangar Door Concrete Pads, 3" Typ. Thickness)</t>
  </si>
  <si>
    <t>Asphalt Pavement Crack Sealing</t>
  </si>
  <si>
    <t>Cold Milling, 2" Thickness (FBO Parking Lot)</t>
  </si>
  <si>
    <t>Unclassified Excavation (For Poor Subgrade Areas)</t>
  </si>
  <si>
    <t>Borrow Excavation (Off-Site Source) (For Poor Subgrade Areas)</t>
  </si>
  <si>
    <t>P-152-4.3</t>
  </si>
  <si>
    <t>Geotextile Fabric (For Poor Subgrade Areas)</t>
  </si>
  <si>
    <t>In-Place Full Depth Recycled (FDR) Asphalt Aggregate Base Course (12 Inch Min. Pulverization Depth, Excavation to Grade, 8 Inch Min. FDR Layer Depth) for</t>
  </si>
  <si>
    <t>In-Place Full Depth Recycled (FDR) Asphalt Aggregate Base Course (12 Inch Min. Pulverization Depth, Excavation to Grade, 7 Inch Min. FDR Layer Depth) for</t>
  </si>
  <si>
    <t>In-Place Full Depth Recycled (FDR) Asphalt Aggregate Base Course (12 Inch Min. Pulverization Depth, Excavation to Grade, 5 Inch Min. FDR Layer Depth) for</t>
  </si>
  <si>
    <t>P-207-5.4</t>
  </si>
  <si>
    <t>P-209-5.1</t>
  </si>
  <si>
    <t>Crushed Aggregate Base Course (6" Depth) (For Poor Subgrade Areas)</t>
  </si>
  <si>
    <t>Bituminous Asphalt Surface Course, 2" Min. Thickness (for FBO Parking Lot)</t>
  </si>
  <si>
    <t>Bituminous Asphalt Surface Course, 4" Min. Thickness (2 - Even Layers) (for Apron)</t>
  </si>
  <si>
    <t>P-501-8.1</t>
  </si>
  <si>
    <t>Concrete Pavement, 7" Min. Thickness</t>
  </si>
  <si>
    <t>P-501-8.2</t>
  </si>
  <si>
    <t>Concrete Pavement, 5" Min. Thickness</t>
  </si>
  <si>
    <t>P-605-5.1</t>
  </si>
  <si>
    <t>Joint Sealing Filler</t>
  </si>
  <si>
    <t>Markings (Permanent, Yellow, Reflectorized)</t>
  </si>
  <si>
    <t>Markings (Permanent, Black, Non-Reflectorized)</t>
  </si>
  <si>
    <t>Reflective Media, Type I Beads</t>
  </si>
  <si>
    <t>4" Solid White Traffic Stripe, Non-Reflectorized</t>
  </si>
  <si>
    <t>Handicapped Accessible Parking Stall, Including Signage and Markings</t>
  </si>
  <si>
    <t>8" HDPE</t>
  </si>
  <si>
    <t>Concrete Headwall (Slope Paved) for 8" HDPE</t>
  </si>
  <si>
    <t>D-754-5.1</t>
  </si>
  <si>
    <t>Concrete for FBO Doorway Ramps</t>
  </si>
  <si>
    <t>D-754-5.2</t>
  </si>
  <si>
    <t>Concrete for Trench Drain</t>
  </si>
  <si>
    <t>D-754-5.3</t>
  </si>
  <si>
    <t>Trench Drain Grate</t>
  </si>
  <si>
    <t>D-754-5.4</t>
  </si>
  <si>
    <t>Aircraft Tie-Down (Grassed Area)</t>
  </si>
  <si>
    <t>F-162-5.1</t>
  </si>
  <si>
    <t>Chain-Link Fence, 6-Foot Fabric Height, 3-Strand Barbed Wire</t>
  </si>
  <si>
    <t>F-162-5.2</t>
  </si>
  <si>
    <t>Black Chain-Link Fence, 4-Foot Fabric Height</t>
  </si>
  <si>
    <t>F-162-5.4</t>
  </si>
  <si>
    <t>Chain-Link Fence Removal, 4-Foot Fabric Height</t>
  </si>
  <si>
    <t>F-162-5.7</t>
  </si>
  <si>
    <t>Rolling Driveway Gate, 4' Black Chain-Link, 20' Clear Opening</t>
  </si>
  <si>
    <t>F-162-5.8</t>
  </si>
  <si>
    <t>Pedestrian Gate, 4' Black Chain-Link</t>
  </si>
  <si>
    <t>SC-3-4.1</t>
  </si>
  <si>
    <t>SC-10-5.1</t>
  </si>
  <si>
    <t>30’ Clear Opening Aluminum Cantilever Gate, Electric Gate Operator for 30’ Clear Opening Cantilever Gate, Including Keypad, Bollards, Loop Detectors, Optic Sensors, Receivers, Transmitters, Grounding, All Conduit and Conductors for Power, Control, etc. Including Costs for New Power Service, Complete in Place and Operational</t>
  </si>
  <si>
    <t>SC-10-5.2</t>
  </si>
  <si>
    <t>Fuel Farm Control Panel Electrical Power Service Modification (Remove All Conductors and Modifiy the Conduit to New Location Under Apron Pavement and Reinstall New Conductors)</t>
  </si>
  <si>
    <t>Cold Milling, 2" Thickness (Entrance Road)</t>
  </si>
  <si>
    <t>Crushed Aggregate Base Course (6" Depth)</t>
  </si>
  <si>
    <t>P-620-5.7</t>
  </si>
  <si>
    <t>Traffic Markings (Permanent, Yellow, Non-Reflectorized)</t>
  </si>
  <si>
    <t>P-620-5.8</t>
  </si>
  <si>
    <t>Traffic Markings (Permanent, White, Non-Reflectorized)</t>
  </si>
  <si>
    <t>Asphalt Surface Course, 4" Min. Thickness (2 - Even Layers)</t>
  </si>
  <si>
    <t>D-754-5.5</t>
  </si>
  <si>
    <t>Concrete Curb Stop</t>
  </si>
  <si>
    <t>D-754-5.6</t>
  </si>
  <si>
    <t>5' Wide Sidewalk, 4" Min. Thickness, Including Reinforcing Steel, Complete In-Place</t>
  </si>
  <si>
    <t>D-754-5.7</t>
  </si>
  <si>
    <t>Limestone (#8910), 4" Min. Thickness (for Sidewalk Base Course)</t>
  </si>
  <si>
    <t>D-754-5.8</t>
  </si>
  <si>
    <t>Bollard</t>
  </si>
  <si>
    <t>D-754-5.9</t>
  </si>
  <si>
    <t>Relocate Ex. Water Spigot, Complete In-Place</t>
  </si>
  <si>
    <t>F-162-5.3</t>
  </si>
  <si>
    <t>Chain-Link Fence Removal, 6-Foot Fabric Height, 3-Strand Barbed Wire</t>
  </si>
  <si>
    <t>F-162-5.9</t>
  </si>
  <si>
    <t>Driveway Gate, Two-Leaf, 24' Clear Opening, w/ 3-Strand Barbed Wire</t>
  </si>
  <si>
    <t>SC-10-5.3</t>
  </si>
  <si>
    <t>Parking Lot Lighting Including Ligth Fixtures, Conduit, Conductors, Circuit Breaker, and Installation, Complete In-Place and Accepted</t>
  </si>
  <si>
    <t>BASE BID (Apron Recon., Parking Lot Rehab., Gate Upgrade)</t>
  </si>
  <si>
    <t>ADD ALTERNATE 1 (Entrance Road Rehabilitation)</t>
  </si>
  <si>
    <t>ADD ALTERNATE 2 (New Parking Lot)</t>
  </si>
  <si>
    <t>C-105-5.1</t>
  </si>
  <si>
    <t>M-100-5.1</t>
  </si>
  <si>
    <t>Low Profile Barricades</t>
  </si>
  <si>
    <t>Each</t>
  </si>
  <si>
    <t>M-100-5.2</t>
  </si>
  <si>
    <t>Runway Closure Markers</t>
  </si>
  <si>
    <t>M-100-5.3</t>
  </si>
  <si>
    <t>Taxiway Closure Markers</t>
  </si>
  <si>
    <t>PST-103-5.1</t>
  </si>
  <si>
    <t>Directional Bore for Electrical Cables</t>
  </si>
  <si>
    <t>L.F.</t>
  </si>
  <si>
    <t>PST-109-3.1</t>
  </si>
  <si>
    <t>PST-109-3.2</t>
  </si>
  <si>
    <t>PST-117-5.1</t>
  </si>
  <si>
    <t>Beacon Tower Painting</t>
  </si>
  <si>
    <t>Seeding &amp; Mulching</t>
  </si>
  <si>
    <t>L-101-5.1</t>
  </si>
  <si>
    <t>Airport Rotating Beacon (36 inch L-802A)</t>
  </si>
  <si>
    <t>L-107-5.1</t>
  </si>
  <si>
    <t>L.E.D Lighted Windcone Assembly, L-807, Style I-B, Size 2</t>
  </si>
  <si>
    <t>Cable Trench</t>
  </si>
  <si>
    <t>Cable, Duct, or Splice Markers</t>
  </si>
  <si>
    <t>No. 8 AWG, 1/C, 5 kV Wire</t>
  </si>
  <si>
    <t>Counterpoise for lightning protection (including trench)</t>
  </si>
  <si>
    <t>No. 4, 1/C, L-824, 600V Wire</t>
  </si>
  <si>
    <t>No. 8, 1/C, L-824, 600V Wire</t>
  </si>
  <si>
    <t>L-108-5.7</t>
  </si>
  <si>
    <t>Counterpoise in Trench Not Parallel to Pavement</t>
  </si>
  <si>
    <t>L-109-5.1</t>
  </si>
  <si>
    <t>L-828, 4 KW Regulator</t>
  </si>
  <si>
    <t>L-109-5.2</t>
  </si>
  <si>
    <t>L-854 Radio Control Equipment</t>
  </si>
  <si>
    <t>L-109-5.3</t>
  </si>
  <si>
    <t>L-821 Lighting Control Panel</t>
  </si>
  <si>
    <t>2" Schedule 40 PVC Electrical Conduit</t>
  </si>
  <si>
    <t>L-120-5.1</t>
  </si>
  <si>
    <t>PAPI Type L-880(L), Style A, Class 1</t>
  </si>
  <si>
    <t>L-849 (L) REIL, Type I, Style E, 1 Pair</t>
  </si>
  <si>
    <t>Med Intensity, Runway Light L-861(L), W/W, Base Mounted</t>
  </si>
  <si>
    <t>Med Intensity, Runway Light L-861(L), W/Y, Base Mounted</t>
  </si>
  <si>
    <t>Medium Intensity, Threshold Light L-861E(L), G/R, Base Mounted</t>
  </si>
  <si>
    <t>Spare Parts</t>
  </si>
  <si>
    <t>L-858 (L), Lighted Sign, Size 1, Style 2</t>
  </si>
  <si>
    <t>TN-917-3.1</t>
  </si>
  <si>
    <t>Electrical Pull Box (11" x 17")</t>
  </si>
  <si>
    <t>L-109-5.4</t>
  </si>
  <si>
    <t>L-828 7.5 KW regulator</t>
  </si>
  <si>
    <t>Medium Intensity, TW Light L-861T (L), Blue, Base Mounted</t>
  </si>
  <si>
    <t>PST-106-6.1</t>
  </si>
  <si>
    <t>S.F.</t>
  </si>
  <si>
    <t>SYD</t>
  </si>
  <si>
    <t>Temporary Pavement Marking, White</t>
  </si>
  <si>
    <t>Temporary Pavement Marking, Yellow</t>
  </si>
  <si>
    <t>Pavement Marking, White</t>
  </si>
  <si>
    <t>Pavement Marking, Yellow</t>
  </si>
  <si>
    <t>Pavement Marking, Black</t>
  </si>
  <si>
    <t>Relocate Threshold and Replace Airfield Lighting</t>
  </si>
  <si>
    <t>BASE BID (Relocate Threshold and Replace Airfield Lighting)</t>
  </si>
  <si>
    <t>STANSELL ELECTRIC CO.</t>
  </si>
  <si>
    <t>ADD ALTERNATE 1</t>
  </si>
  <si>
    <t>AXTELL'S INC.</t>
  </si>
  <si>
    <t>BASE BID 2 TOTALS:</t>
  </si>
  <si>
    <t>BASE BID 2 (Runway Marking Removal, Sealcoat, and Remarking [Not Awarded, but Put on APMM Phase III])</t>
  </si>
  <si>
    <t>C-100</t>
  </si>
  <si>
    <t>Contractor Quality Control Plan (CQCP)</t>
  </si>
  <si>
    <t>Installation and Removal of Prowattle</t>
  </si>
  <si>
    <t>Installation and Removal of Culvert Inlet Protection</t>
  </si>
  <si>
    <t>Installation and Removal of Outlet Protection</t>
  </si>
  <si>
    <t>Installation and Removal of Compost Filter Sock</t>
  </si>
  <si>
    <t>Installation and Removal of Temporary Sediment Basin</t>
  </si>
  <si>
    <t>Installation and Remval of Construction Exit</t>
  </si>
  <si>
    <t>Joint and Crack Repair</t>
  </si>
  <si>
    <t>Cold Milling (2" Average Depth)</t>
  </si>
  <si>
    <t>Pavement Removal (2.25" - 4.5" Depth)</t>
  </si>
  <si>
    <t>Removal of Storm Drainage Pipe (18" - 36" Diameter or Height)</t>
  </si>
  <si>
    <t>Removal of Pavement Underdrain Pipe (2" - 8" Diameter)</t>
  </si>
  <si>
    <t>Removal of Storm Drainage Headwall</t>
  </si>
  <si>
    <t>Bituminous Pavement HMA Interface Joint (Type "X")</t>
  </si>
  <si>
    <t>Stockpile Material</t>
  </si>
  <si>
    <t>Lime-Treated Subgrade</t>
  </si>
  <si>
    <t>FDR Recycled Aggregate Base Course to be Relocated On Site</t>
  </si>
  <si>
    <t>Lime</t>
  </si>
  <si>
    <t>In-Place Full Depth Reclamation (FDR) Recycled Asphalt Aggregate Base Course (8" - 14" Depth)</t>
  </si>
  <si>
    <t>C-102-5.1b</t>
  </si>
  <si>
    <t>C-102-5.1c</t>
  </si>
  <si>
    <t>C-102-5.1d</t>
  </si>
  <si>
    <t>C-102-5.1e</t>
  </si>
  <si>
    <t>C-102-5.1g</t>
  </si>
  <si>
    <t>P-155-8.1</t>
  </si>
  <si>
    <t>P-155-8.2</t>
  </si>
  <si>
    <t>P-207-5.5</t>
  </si>
  <si>
    <t>P-4018.3</t>
  </si>
  <si>
    <t>P-620-5.1a</t>
  </si>
  <si>
    <t>P-620-5.1b</t>
  </si>
  <si>
    <t>P-620-5.1c</t>
  </si>
  <si>
    <t>P-620-5.1d</t>
  </si>
  <si>
    <t>P-620-5.1e</t>
  </si>
  <si>
    <t>P-620-5.1f</t>
  </si>
  <si>
    <t>P-620-5.1g</t>
  </si>
  <si>
    <t>P-620-5.1h</t>
  </si>
  <si>
    <t>P-620-5.1i</t>
  </si>
  <si>
    <t>P-626-6.1</t>
  </si>
  <si>
    <t>D-701-5.2</t>
  </si>
  <si>
    <t>D-701-5.3</t>
  </si>
  <si>
    <t>D-701-5.4</t>
  </si>
  <si>
    <t>D-751-5.1</t>
  </si>
  <si>
    <t>D-752-5.2</t>
  </si>
  <si>
    <t>D-752-5.3</t>
  </si>
  <si>
    <t>D-752-5.4</t>
  </si>
  <si>
    <t>T-908-5.1</t>
  </si>
  <si>
    <t>L-107-5.2</t>
  </si>
  <si>
    <t>L-110-5.5</t>
  </si>
  <si>
    <t>L-110-5.6</t>
  </si>
  <si>
    <t>L-110-5.7</t>
  </si>
  <si>
    <t>L-110-5.8</t>
  </si>
  <si>
    <t>L-115-5.4</t>
  </si>
  <si>
    <t>L-115-5.5</t>
  </si>
  <si>
    <t>LST-1-5.1</t>
  </si>
  <si>
    <t>LST-1-5.2</t>
  </si>
  <si>
    <t>LST-1-5.3</t>
  </si>
  <si>
    <t>LST-1-5.4</t>
  </si>
  <si>
    <t>LST-1-5.5</t>
  </si>
  <si>
    <t>LST-1-5.6</t>
  </si>
  <si>
    <t>MST-02</t>
  </si>
  <si>
    <t>MST-03</t>
  </si>
  <si>
    <t>LST-02</t>
  </si>
  <si>
    <t>Asphalt Base Course (Gradation 1)</t>
  </si>
  <si>
    <t>Asphalt Base Course (Gradation 2)</t>
  </si>
  <si>
    <t>Asphalt Base Course (Gradation 3)</t>
  </si>
  <si>
    <t>Surface Preparaion</t>
  </si>
  <si>
    <t>Runway and Taxiway Marking - White (100% Application)</t>
  </si>
  <si>
    <t>Runway and Taxiway Marking - White (50% Application)</t>
  </si>
  <si>
    <t>Runway and Taxiway Marking - Yellow (50% Application)</t>
  </si>
  <si>
    <t>Runway and Taxiway Marking - Yellow (100% Application)</t>
  </si>
  <si>
    <t>Runway and Taxiway Marking - Red (50% Application)</t>
  </si>
  <si>
    <t>Runway and Taxiway Marking - Red (100% Application)</t>
  </si>
  <si>
    <t>Runway and Taxiway Marking - Black (100% Application)</t>
  </si>
  <si>
    <t>Reflective Media</t>
  </si>
  <si>
    <t>Emulsified Asphalt Slurry Seal Surface Treatment</t>
  </si>
  <si>
    <t>18-Inch RCP, Class III</t>
  </si>
  <si>
    <t>24-Inch RCP, Class III</t>
  </si>
  <si>
    <t>30-Inch RCP, Class III</t>
  </si>
  <si>
    <t>18-Inch RCP, Class IV</t>
  </si>
  <si>
    <t>6-Inch Perforated Polyethlene Collector Underdrain</t>
  </si>
  <si>
    <t>6-Inch Non-Perforated Polyethylene Outfall Underdrain</t>
  </si>
  <si>
    <t>Reinforced-Concrete Underdrain Headwall, 6-Inch</t>
  </si>
  <si>
    <t>Reinforced-Concrete Storm Drainage Headwall, 18-Inch</t>
  </si>
  <si>
    <t>Reinforced-Concrete Storm Drainage Headwall, 24-Inch</t>
  </si>
  <si>
    <t>Reinforced-Concrete Storm Drainage Headwall, 30-Inch</t>
  </si>
  <si>
    <t>Mulching</t>
  </si>
  <si>
    <t>L-807(L), Style I-B, Size 2 Primary Wind Cone and Foundation, In Place</t>
  </si>
  <si>
    <t>L-806(L), Style I-B, Size 1 Secondary Wind Cone and Foundation, In Place</t>
  </si>
  <si>
    <t>No. 8 AWG, 5 KV, L-824 Type C Cable, Installed in Duct Bank or Conduit</t>
  </si>
  <si>
    <t>No. 6 AWG, Solid, Bare Copper Counterpoise Wire, Installed Above the Duct Bank or Conduit, Including Connections/Terminations</t>
  </si>
  <si>
    <t>No.12 AWG, 600V THWN-2 Cable for Primary Wind Cone Circuit Installed in Duct Bank or Conduit</t>
  </si>
  <si>
    <t>No. 10 AWG, 600V, THWN-2 Cable for Runway 8 Papi and Runway 26 Papi Circuit Installed in Duct Bank or Conduit</t>
  </si>
  <si>
    <t>No. 3 AWG, 600V, THWN-2 Cable For AWOS Circuit Installed In Duct Bank or Conduit</t>
  </si>
  <si>
    <t>Runway 7.5kW CCR</t>
  </si>
  <si>
    <t>Taxiway 15kW CCR</t>
  </si>
  <si>
    <t>Radio Control Equipment</t>
  </si>
  <si>
    <t>Miscellaneous Electrical Equipment in Exisiting Vault</t>
  </si>
  <si>
    <t>Non-Encased Electrical Duct Bank, 1-Way 2-Inch</t>
  </si>
  <si>
    <t>Non-Encased Electrical Duct Bank, 2-Way 2-Inch</t>
  </si>
  <si>
    <t>Non-Encased Electrical Duct Bank, 6-Way 2-Inch</t>
  </si>
  <si>
    <t>Concrete Encased Electrical Duct Bank, 3-Way 2-Inch</t>
  </si>
  <si>
    <t>Concrete Encased Electrical Duct Bank, 4-Way 2-Inch</t>
  </si>
  <si>
    <t>Directional Bore Electrical Duct Bank, 3-Way 2-Inch</t>
  </si>
  <si>
    <t>Directional Bore Electrical Duct Bank, 4-Way 2-Inch</t>
  </si>
  <si>
    <t>Directional Bore Electrical Duct Bank, 6-Way 2-Inch</t>
  </si>
  <si>
    <t>Electrical Junction Structure, 1-Unit Pull-Can Plaza</t>
  </si>
  <si>
    <t>Electrical Junction Structure, 2-Unit Pull-Can Plaza</t>
  </si>
  <si>
    <t>Electrical Junction Structure, 3-Unit Pull-Can Plaza</t>
  </si>
  <si>
    <t>Electrical Junction Structure, 4-Unit Pull-Can Plaza</t>
  </si>
  <si>
    <t>Electrical Junction Structure, 6-Unit Pull-Can Plaza</t>
  </si>
  <si>
    <t>L-861(L) Runway Edge Light</t>
  </si>
  <si>
    <t>L-861E(L) Runway End/Threshold Light</t>
  </si>
  <si>
    <t>L-861T(L) Taxiway Edge Light</t>
  </si>
  <si>
    <t>L-858(L) Airfield Guidance Sign, 2-Modules</t>
  </si>
  <si>
    <t>L-858(L) Airfield Guidance Sign, 3-Modules</t>
  </si>
  <si>
    <t>L-849I LED Reil System</t>
  </si>
  <si>
    <t>L-881 LED 2-Box Papi System</t>
  </si>
  <si>
    <t>Removal of Conduit and Cable with Restoration</t>
  </si>
  <si>
    <t>Removal of Airfield Light Fixture</t>
  </si>
  <si>
    <t>Removal of Airfield Lighting Conduit and Cable</t>
  </si>
  <si>
    <t>Removal of Guidance Sign</t>
  </si>
  <si>
    <t>Removal of 2-Box Papi</t>
  </si>
  <si>
    <t>Removal of Reil System</t>
  </si>
  <si>
    <t>Maintenance of Traffic</t>
  </si>
  <si>
    <t>Construction of Engineering</t>
  </si>
  <si>
    <t>Installation of AWOS Equipment Rack</t>
  </si>
  <si>
    <t>BASE BID UNDISTRIBUTED PAY ITEMS</t>
  </si>
  <si>
    <t>ESTIMATED QUANITY</t>
  </si>
  <si>
    <t>Joint and Crack Repair (Undistributed)</t>
  </si>
  <si>
    <t>Removal of Pavement Underdrain Pipe (2" - 8" Diameter; Undistributed)</t>
  </si>
  <si>
    <t>Undercut Unsuitable Material (Undistributed)</t>
  </si>
  <si>
    <t>Corrective Aggregate Material (Undistributed)</t>
  </si>
  <si>
    <t xml:space="preserve">Base Bid Undistributed Pay Items Subtotal: </t>
  </si>
  <si>
    <t xml:space="preserve">Base Bid Total: </t>
  </si>
  <si>
    <t>BASE BID TOTALS:</t>
  </si>
  <si>
    <t>1000 SF</t>
  </si>
  <si>
    <t>Stockpiled Material</t>
  </si>
  <si>
    <t>In-Place Full Depth Reclamation (FDR) Recycled Asphalt Aggregate Base Course (5" - 12" Depth)</t>
  </si>
  <si>
    <t>Asphalt Base Course (Graduation 1)</t>
  </si>
  <si>
    <t>Asphalt Base Course (Graduation 2)</t>
  </si>
  <si>
    <t>Asphalt Base Course (Graduation 3)</t>
  </si>
  <si>
    <t>Construction Engineering</t>
  </si>
  <si>
    <t>Additive Bid 1 Standard Pay Items Subtotal</t>
  </si>
  <si>
    <t>ADDITIVE BID 1 STANDARD PAY ITEMS</t>
  </si>
  <si>
    <t xml:space="preserve">Additive Bid 1 Undistributed Pay Items Subtotal: </t>
  </si>
  <si>
    <t>Additive Bid 1 Undistributed Pay Items</t>
  </si>
  <si>
    <t>Deductive Bid 1 Standard Pay Items</t>
  </si>
  <si>
    <t>Bituminous Pavement HMAInterface Joint (Type "X")</t>
  </si>
  <si>
    <t xml:space="preserve">Deductive Bid 1 Standard Pay Items Subtotal: </t>
  </si>
  <si>
    <t xml:space="preserve">Deductive Bid 1 Undistributed Pay Items Subtotal: </t>
  </si>
  <si>
    <t xml:space="preserve">Additive Bid 1 Totall: </t>
  </si>
  <si>
    <t>Rogers Group, Inc.</t>
  </si>
  <si>
    <t>Drainage Improvements</t>
  </si>
  <si>
    <t>07-555-0145-21</t>
  </si>
  <si>
    <t>BASE BID (Drainage Improvements)</t>
  </si>
  <si>
    <t>J.D. Anderson Contracting, LLC.</t>
  </si>
  <si>
    <t>B &amp; A Construction, Co. Inc.</t>
  </si>
  <si>
    <t>C-100-14</t>
  </si>
  <si>
    <t>C-105-6.2</t>
  </si>
  <si>
    <t>C-105-6.3</t>
  </si>
  <si>
    <t>C-105-6.4</t>
  </si>
  <si>
    <t>C-105-6.5</t>
  </si>
  <si>
    <t>C-105-6.6</t>
  </si>
  <si>
    <t>D-751-5.2</t>
  </si>
  <si>
    <t>D-901-5.1</t>
  </si>
  <si>
    <t>D-905-5.1</t>
  </si>
  <si>
    <t>D-905-5.2</t>
  </si>
  <si>
    <t>Installation and Removal of Silt Fence</t>
  </si>
  <si>
    <t>Stone Filter Ring Installation and Removal</t>
  </si>
  <si>
    <t>Construct Haul Route/Staging Area</t>
  </si>
  <si>
    <t>As-Buit Drawings and Field Revisions</t>
  </si>
  <si>
    <t>Mantenance of Barricades</t>
  </si>
  <si>
    <t>Removal and Salvage Existing Chain Link Fence</t>
  </si>
  <si>
    <t>Remove Existing Rip-Rap Stone</t>
  </si>
  <si>
    <t>Unclassified Excavation from Borrow</t>
  </si>
  <si>
    <t>Rock Excavation to Embankment</t>
  </si>
  <si>
    <t>Stripping and Stockpile Topsoil</t>
  </si>
  <si>
    <t>Installation of Salvage Chain-link Fence</t>
  </si>
  <si>
    <t>Supply and Install New Chain-link Fence</t>
  </si>
  <si>
    <t>Supply and Install New 12' Double Leaf Chain-link Gate</t>
  </si>
  <si>
    <t>Subgrade Drainage Corrections</t>
  </si>
  <si>
    <t>12" Class III RCP</t>
  </si>
  <si>
    <t>18" Class III RCP</t>
  </si>
  <si>
    <t>Catch Basin (4'x4')</t>
  </si>
  <si>
    <t>Junction Manhole Structure</t>
  </si>
  <si>
    <t>Seeding with Hydromulch</t>
  </si>
  <si>
    <t>Spread Topsoil (Stockpiled on Site)</t>
  </si>
  <si>
    <t>Topsoil From Offsite Sources</t>
  </si>
  <si>
    <t>18" Headwall/Edwall Structure</t>
  </si>
  <si>
    <t>CONTINGENCY (15%)</t>
  </si>
  <si>
    <t>SUBTOTAL OF BASE BID CONSTRUCTION ITEMS:</t>
  </si>
  <si>
    <t>TOTAL BIDS AS CALCULATED WITH PROVIDER FIGURES:</t>
  </si>
  <si>
    <t>Summers-Taylor</t>
  </si>
  <si>
    <t>C-105</t>
  </si>
  <si>
    <t>M-101-4.1</t>
  </si>
  <si>
    <t>P-101-4.1</t>
  </si>
  <si>
    <t>P-101-4.2</t>
  </si>
  <si>
    <t>P-101-4.3</t>
  </si>
  <si>
    <t>P-101-4.4</t>
  </si>
  <si>
    <t>P-101-4.5</t>
  </si>
  <si>
    <t>P-150-4.1</t>
  </si>
  <si>
    <t>T-90105.1</t>
  </si>
  <si>
    <t>Maintain and Control Traffic</t>
  </si>
  <si>
    <t>Pavement Removal (Taxiway B1)</t>
  </si>
  <si>
    <t>Minor Joint and Crack Repair (approx.75,000 LF)</t>
  </si>
  <si>
    <t>Major Joint and Cracks (10%)</t>
  </si>
  <si>
    <t>Deep Joint and Crack Repair</t>
  </si>
  <si>
    <t>Asphalt Patch</t>
  </si>
  <si>
    <t>Miscellaneous Demolition</t>
  </si>
  <si>
    <t>Earthwork</t>
  </si>
  <si>
    <t>Airfield Pavement Painting -with or without Reflective Media</t>
  </si>
  <si>
    <t>Inlet Protection</t>
  </si>
  <si>
    <t>No. 8 AWG, 5 kV, L-824, Type C Cable Installed in Duct</t>
  </si>
  <si>
    <t>No. 6 AWG, Solid, Bare Counterpoise Wire, Installed In Trench Inc</t>
  </si>
  <si>
    <t>1-way, 2-Inch, Schedule 40 PVC, Direct Earth Buried</t>
  </si>
  <si>
    <t>NewL-861T Quartz Taxiway Edge Light, Installed in Turf</t>
  </si>
  <si>
    <t>Modify Airfield Sign</t>
  </si>
  <si>
    <t>TOTAL:</t>
  </si>
  <si>
    <t>Runway and Taxiway B1 Removal</t>
  </si>
  <si>
    <t>BASE BID (Runway and Taxiway B1 Removal)</t>
  </si>
  <si>
    <t>Reduction</t>
  </si>
  <si>
    <t>Total Price</t>
  </si>
  <si>
    <t>Comsa Construction</t>
  </si>
  <si>
    <t>Architect's Estimate</t>
  </si>
  <si>
    <t>Terminal and Ramp Energy Improvements</t>
  </si>
  <si>
    <t>$                   -</t>
  </si>
  <si>
    <t>L.S.</t>
  </si>
  <si>
    <t>Safety Measures</t>
  </si>
  <si>
    <t>Demolition (Including removal of Boiler, Chillers and Cooling Towers)</t>
  </si>
  <si>
    <t>Window Tinting</t>
  </si>
  <si>
    <t>Temporary Boiler - Weekly Charge (Coordinate need / usage with Airport) - Feel project can be managed to elimate the need for a temporary boiler</t>
  </si>
  <si>
    <t>/Week</t>
  </si>
  <si>
    <t>New Boilers - Reduce boilers to 3 million BTU each instead of 5 million BTU</t>
  </si>
  <si>
    <t>New Chillers</t>
  </si>
  <si>
    <t>Exterior Lighting Replacement  / Upgrades</t>
  </si>
  <si>
    <t>Interior Lighting Replacement / Upgrades</t>
  </si>
  <si>
    <t>Delete lighting work at TSA Offices</t>
  </si>
  <si>
    <t>Delete lighting work at Baggage Claim</t>
  </si>
  <si>
    <t>Delete lower level Part A lighting (55 type "A", 100 type "B" &amp; 8 type "C" fixtures)</t>
  </si>
  <si>
    <t>Delete lower level Part B lighting (56 type "A", 1 type "B", 42 type "C", 10 type "D", 1 type "E" fixtures)</t>
  </si>
  <si>
    <t>Delete lower level Part C lighting (15 type "A", 36 type "C", 10 type "F", 14 type "G" and 2 type "H" fixtures)</t>
  </si>
  <si>
    <t>Connect New Chiller and Boiler equipment to existing Energy Management System.</t>
  </si>
  <si>
    <t>Addendum One - Checkpoint Ventilation Panels, Security Gate and Door - Deleted from Project Scope.  Note that ventilation panels called out are $167,005</t>
  </si>
  <si>
    <t>Addendum One - Replace Existing Emergency Lights - Deleted from the Project Scope</t>
  </si>
  <si>
    <r>
      <rPr>
        <sz val="11"/>
        <rFont val="Calibri"/>
        <family val="2"/>
        <scheme val="minor"/>
      </rPr>
      <t>Temporary Chiller - Weekly Charge
(Coordinate need / usage with Airport)</t>
    </r>
  </si>
  <si>
    <r>
      <rPr>
        <sz val="11"/>
        <rFont val="Calibri"/>
        <family val="2"/>
        <scheme val="minor"/>
      </rPr>
      <t>Delete main level lay-in lighting (73 type
"B" &amp; 65 type "C" fixtures)</t>
    </r>
  </si>
  <si>
    <r>
      <rPr>
        <sz val="11"/>
        <rFont val="Calibri"/>
        <family val="2"/>
        <scheme val="minor"/>
      </rPr>
      <t>Delete mezzanine level lay-in lighting (73
type "B" &amp; 4 type "C" fixtures)</t>
    </r>
  </si>
  <si>
    <r>
      <rPr>
        <sz val="11"/>
        <rFont val="Calibri"/>
        <family val="2"/>
        <scheme val="minor"/>
      </rPr>
      <t>HVAC AIR DUCT SUPPLY - SYSTEM
BALANCING.</t>
    </r>
  </si>
  <si>
    <t>Delete Temporary Boiler</t>
  </si>
  <si>
    <t>Revise Duration</t>
  </si>
  <si>
    <t>Revise boilers to 3 million btus each</t>
  </si>
  <si>
    <t>BASE BID (Terminal and Ramp Energy Improvements)</t>
  </si>
  <si>
    <t>TRI (2)</t>
  </si>
  <si>
    <t>Tri-City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</si>
</sst>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4" formatCode="_(&quot;$&quot;* #,##0.00_);_(&quot;$&quot;* \(#,##0.00\);_(&quot;$&quot;* &quot;-&quot;??_);_(@_)"/>
    <numFmt numFmtId="164" formatCode="&quot;$&quot;#,##0.00"/>
    <numFmt numFmtId="165" formatCode="\$#,##0"/>
    <numFmt numFmtId="166" formatCode="\$#,##0.00"/>
    <numFmt numFmtId="167" formatCode="\$0.00"/>
    <numFmt numFmtId="168" formatCode="\$\ #,##0.00"/>
    <numFmt numFmtId="169" formatCode="\$\ 0.00"/>
    <numFmt numFmtId="170" formatCode="&quot;$&quot;#,##0.00;[Red]&quot;$&quot;#,##0.00"/>
    <numFmt numFmtId="171" formatCode="\$\ #,##0.00_);\(\$\ #,##0.00\)"/>
  </numFmts>
  <fonts count="35" x14ac:knownFonts="1">
    <font>
      <sz val="11"/>
      <color theme="1"/>
      <name val="Calibri"/>
      <family val="2"/>
      <scheme val="minor"/>
    </font>
    <font>
      <b/>
      <sz val="11"/>
      <color theme="1"/>
      <name val="Calibri"/>
      <family val="2"/>
      <scheme val="minor"/>
    </font>
    <font>
      <b/>
      <i/>
      <sz val="12"/>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theme="0"/>
      <name val="Calibri"/>
      <family val="2"/>
    </font>
    <font>
      <sz val="11"/>
      <color rgb="FFFF0000"/>
      <name val="Calibri"/>
      <family val="2"/>
    </font>
    <font>
      <u/>
      <sz val="11"/>
      <color theme="10"/>
      <name val="Calibri"/>
      <family val="2"/>
      <scheme val="minor"/>
    </font>
    <font>
      <b/>
      <sz val="18"/>
      <color theme="1"/>
      <name val="Calibri"/>
      <family val="2"/>
      <scheme val="minor"/>
    </font>
    <font>
      <b/>
      <sz val="12"/>
      <color theme="1"/>
      <name val="Calibri"/>
      <family val="2"/>
      <scheme val="minor"/>
    </font>
    <font>
      <b/>
      <sz val="12"/>
      <color indexed="8"/>
      <name val="Calibri"/>
      <family val="2"/>
    </font>
    <font>
      <sz val="12"/>
      <color theme="1"/>
      <name val="Calibri"/>
      <family val="2"/>
      <scheme val="minor"/>
    </font>
    <font>
      <sz val="11"/>
      <name val="Calibri"/>
      <family val="2"/>
      <scheme val="minor"/>
    </font>
    <font>
      <sz val="11"/>
      <name val="Calibri"/>
      <family val="2"/>
    </font>
    <font>
      <sz val="10"/>
      <color rgb="FF000000"/>
      <name val="Times New Roman"/>
      <charset val="204"/>
    </font>
    <font>
      <sz val="11"/>
      <color rgb="FF000000"/>
      <name val="Calibri"/>
      <family val="2"/>
      <scheme val="minor"/>
    </font>
    <font>
      <b/>
      <sz val="11"/>
      <name val="Calibri"/>
      <family val="2"/>
      <scheme val="minor"/>
    </font>
    <font>
      <b/>
      <sz val="11"/>
      <color rgb="FF000000"/>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sz val="12"/>
      <color rgb="FF000000"/>
      <name val="Times New Roman"/>
      <family val="1"/>
    </font>
    <font>
      <sz val="12"/>
      <color theme="0"/>
      <name val="Calibri"/>
      <family val="2"/>
      <scheme val="minor"/>
    </font>
    <font>
      <sz val="10"/>
      <color rgb="FF000000"/>
      <name val="Times New Roman"/>
      <family val="1"/>
    </font>
    <font>
      <b/>
      <sz val="12"/>
      <color theme="0"/>
      <name val="Calibri"/>
      <family val="2"/>
      <scheme val="minor"/>
    </font>
    <font>
      <sz val="11"/>
      <color theme="1"/>
      <name val="Calibri"/>
      <family val="2"/>
      <scheme val="minor"/>
    </font>
    <font>
      <sz val="8"/>
      <name val="Calibri"/>
      <family val="2"/>
      <scheme val="minor"/>
    </font>
    <font>
      <sz val="12"/>
      <name val="Calibri"/>
      <family val="2"/>
      <scheme val="minor"/>
    </font>
    <font>
      <b/>
      <sz val="10"/>
      <color rgb="FF000000"/>
      <name val="Times New Roman"/>
      <family val="1"/>
    </font>
    <font>
      <b/>
      <sz val="9"/>
      <color rgb="FF000000"/>
      <name val="Times New Roman"/>
      <family val="1"/>
    </font>
    <font>
      <b/>
      <sz val="11"/>
      <color theme="0"/>
      <name val="Calibri"/>
      <family val="2"/>
      <scheme val="minor"/>
    </font>
    <font>
      <b/>
      <sz val="12"/>
      <color rgb="FF000000"/>
      <name val="Times New Roman"/>
      <family val="1"/>
    </font>
    <font>
      <sz val="7"/>
      <name val="Calibri"/>
      <family val="2"/>
    </font>
    <font>
      <b/>
      <sz val="7"/>
      <color rgb="FF000000"/>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8" fillId="0" borderId="0" applyNumberFormat="0" applyFill="0" applyBorder="0" applyAlignment="0" applyProtection="0"/>
    <xf numFmtId="0" fontId="15" fillId="0" borderId="0"/>
    <xf numFmtId="0" fontId="24" fillId="0" borderId="0"/>
    <xf numFmtId="44" fontId="26" fillId="0" borderId="0" applyFont="0" applyFill="0" applyBorder="0" applyAlignment="0" applyProtection="0"/>
  </cellStyleXfs>
  <cellXfs count="334">
    <xf numFmtId="0" fontId="0" fillId="0" borderId="0" xfId="0"/>
    <xf numFmtId="164" fontId="0" fillId="0" borderId="0" xfId="0" applyNumberFormat="1"/>
    <xf numFmtId="0" fontId="2" fillId="0" borderId="0" xfId="0" applyFont="1"/>
    <xf numFmtId="14" fontId="0" fillId="0" borderId="0" xfId="0" applyNumberFormat="1" applyAlignment="1">
      <alignment horizontal="left"/>
    </xf>
    <xf numFmtId="8" fontId="0" fillId="0" borderId="0" xfId="0" applyNumberFormat="1"/>
    <xf numFmtId="0" fontId="0" fillId="0" borderId="1" xfId="0" applyBorder="1" applyAlignment="1">
      <alignment vertical="center" wrapText="1"/>
    </xf>
    <xf numFmtId="0" fontId="0" fillId="0" borderId="0" xfId="0" applyBorder="1"/>
    <xf numFmtId="0" fontId="0" fillId="0" borderId="0" xfId="0" applyBorder="1" applyAlignment="1">
      <alignment vertical="center" wrapText="1"/>
    </xf>
    <xf numFmtId="8" fontId="0" fillId="0" borderId="0" xfId="0" applyNumberFormat="1" applyBorder="1" applyAlignment="1">
      <alignment vertical="center" wrapText="1"/>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xf numFmtId="0" fontId="0" fillId="0" borderId="0" xfId="0" applyBorder="1" applyAlignment="1">
      <alignment horizontal="center" vertical="center" wrapText="1"/>
    </xf>
    <xf numFmtId="0" fontId="0" fillId="0" borderId="0" xfId="0" applyAlignment="1">
      <alignment horizontal="center"/>
    </xf>
    <xf numFmtId="164" fontId="0" fillId="0" borderId="0" xfId="0" applyNumberFormat="1" applyBorder="1" applyAlignment="1">
      <alignment vertical="center" wrapText="1"/>
    </xf>
    <xf numFmtId="0" fontId="0" fillId="0" borderId="0" xfId="0" applyFill="1" applyBorder="1" applyAlignment="1">
      <alignment vertical="center" wrapText="1"/>
    </xf>
    <xf numFmtId="0" fontId="0" fillId="0" borderId="0" xfId="0" applyNumberFormat="1"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Border="1" applyAlignment="1">
      <alignment horizontal="center" vertical="center" wrapText="1"/>
    </xf>
    <xf numFmtId="0" fontId="5" fillId="0" borderId="0" xfId="0" applyNumberFormat="1" applyFont="1" applyFill="1" applyBorder="1" applyAlignment="1" applyProtection="1">
      <alignment horizontal="center"/>
    </xf>
    <xf numFmtId="164" fontId="1" fillId="0" borderId="0" xfId="0" applyNumberFormat="1" applyFont="1" applyBorder="1"/>
    <xf numFmtId="0" fontId="4" fillId="0" borderId="0" xfId="0" applyNumberFormat="1" applyFont="1" applyFill="1" applyAlignment="1" applyProtection="1">
      <alignment horizontal="center"/>
    </xf>
    <xf numFmtId="0" fontId="4" fillId="0" borderId="0" xfId="0" applyNumberFormat="1" applyFont="1" applyFill="1" applyAlignment="1" applyProtection="1"/>
    <xf numFmtId="0" fontId="8" fillId="0" borderId="0" xfId="1"/>
    <xf numFmtId="0" fontId="8" fillId="0" borderId="0" xfId="1" applyAlignment="1">
      <alignment horizontal="center"/>
    </xf>
    <xf numFmtId="8" fontId="10" fillId="0" borderId="3" xfId="0" applyNumberFormat="1" applyFont="1" applyBorder="1" applyAlignment="1">
      <alignment vertical="center" wrapText="1"/>
    </xf>
    <xf numFmtId="8" fontId="10" fillId="0" borderId="4" xfId="0" applyNumberFormat="1" applyFont="1" applyBorder="1" applyAlignment="1">
      <alignment vertical="center" wrapText="1"/>
    </xf>
    <xf numFmtId="0" fontId="10" fillId="0" borderId="3" xfId="0" applyFont="1" applyBorder="1" applyAlignment="1">
      <alignment vertical="center" wrapText="1"/>
    </xf>
    <xf numFmtId="164" fontId="10" fillId="0" borderId="3" xfId="0" applyNumberFormat="1" applyFont="1" applyBorder="1" applyAlignment="1">
      <alignment vertical="center" wrapText="1"/>
    </xf>
    <xf numFmtId="164" fontId="10" fillId="0" borderId="4" xfId="0" applyNumberFormat="1" applyFont="1" applyBorder="1" applyAlignment="1">
      <alignment vertical="center" wrapText="1"/>
    </xf>
    <xf numFmtId="0" fontId="10" fillId="0" borderId="0" xfId="0" applyFont="1" applyBorder="1"/>
    <xf numFmtId="8" fontId="11" fillId="0" borderId="0" xfId="0" applyNumberFormat="1" applyFont="1" applyFill="1" applyBorder="1" applyAlignment="1" applyProtection="1"/>
    <xf numFmtId="0" fontId="9" fillId="0" borderId="0" xfId="0" applyFont="1" applyAlignment="1">
      <alignment horizontal="center" vertical="center"/>
    </xf>
    <xf numFmtId="0" fontId="12" fillId="0" borderId="0" xfId="0" applyFont="1"/>
    <xf numFmtId="0" fontId="10" fillId="0" borderId="2" xfId="0" applyFont="1" applyBorder="1" applyAlignment="1">
      <alignment horizontal="center" vertical="center" wrapText="1"/>
    </xf>
    <xf numFmtId="0" fontId="11" fillId="0" borderId="0" xfId="0" applyNumberFormat="1" applyFont="1" applyFill="1" applyBorder="1" applyAlignment="1" applyProtection="1">
      <alignment horizontal="center"/>
    </xf>
    <xf numFmtId="0" fontId="0" fillId="0" borderId="13" xfId="0" applyBorder="1" applyAlignment="1">
      <alignment horizontal="center"/>
    </xf>
    <xf numFmtId="0" fontId="0" fillId="0" borderId="0" xfId="0" quotePrefix="1"/>
    <xf numFmtId="0" fontId="13" fillId="0" borderId="0" xfId="0" applyFont="1"/>
    <xf numFmtId="0" fontId="10" fillId="0" borderId="2" xfId="0" applyFont="1" applyBorder="1" applyAlignment="1">
      <alignment horizontal="center" vertical="center" wrapText="1"/>
    </xf>
    <xf numFmtId="0" fontId="15" fillId="0" borderId="0" xfId="2" applyAlignment="1">
      <alignment horizontal="left" vertical="top"/>
    </xf>
    <xf numFmtId="164" fontId="11" fillId="0" borderId="3" xfId="0" applyNumberFormat="1" applyFont="1" applyFill="1" applyBorder="1" applyAlignment="1" applyProtection="1">
      <alignment vertical="center"/>
    </xf>
    <xf numFmtId="164" fontId="11" fillId="0" borderId="4" xfId="0" applyNumberFormat="1" applyFont="1" applyFill="1" applyBorder="1" applyAlignment="1" applyProtection="1">
      <alignment vertical="center"/>
    </xf>
    <xf numFmtId="0" fontId="0" fillId="0" borderId="0" xfId="0" applyAlignment="1">
      <alignment vertical="center"/>
    </xf>
    <xf numFmtId="8" fontId="11" fillId="0" borderId="3" xfId="0" applyNumberFormat="1" applyFont="1" applyFill="1" applyBorder="1" applyAlignment="1" applyProtection="1">
      <alignment vertical="center"/>
    </xf>
    <xf numFmtId="8" fontId="11" fillId="0" borderId="4" xfId="0" applyNumberFormat="1" applyFont="1" applyFill="1" applyBorder="1" applyAlignment="1" applyProtection="1">
      <alignment vertical="center"/>
    </xf>
    <xf numFmtId="0" fontId="16" fillId="0" borderId="0" xfId="2" applyFont="1" applyAlignment="1">
      <alignment horizontal="left" vertical="top"/>
    </xf>
    <xf numFmtId="0" fontId="15" fillId="0" borderId="0" xfId="2" applyBorder="1" applyAlignment="1">
      <alignment horizontal="left" vertical="top"/>
    </xf>
    <xf numFmtId="0" fontId="20" fillId="0" borderId="2" xfId="2" applyFont="1" applyBorder="1" applyAlignment="1">
      <alignment horizontal="center" vertical="center" wrapText="1"/>
    </xf>
    <xf numFmtId="0" fontId="15" fillId="0" borderId="0" xfId="2" applyAlignment="1">
      <alignment horizontal="left" vertical="center"/>
    </xf>
    <xf numFmtId="0" fontId="2" fillId="0" borderId="0" xfId="0" applyFont="1" applyAlignment="1">
      <alignment vertical="center"/>
    </xf>
    <xf numFmtId="14" fontId="0" fillId="0" borderId="0" xfId="0" applyNumberFormat="1" applyAlignment="1">
      <alignment horizontal="left" vertical="center"/>
    </xf>
    <xf numFmtId="0" fontId="15" fillId="0" borderId="0" xfId="2" applyBorder="1" applyAlignment="1">
      <alignment vertical="center" wrapText="1"/>
    </xf>
    <xf numFmtId="0" fontId="15" fillId="0" borderId="0" xfId="2" applyBorder="1" applyAlignment="1">
      <alignment horizontal="left" vertical="center"/>
    </xf>
    <xf numFmtId="0" fontId="16" fillId="0" borderId="0" xfId="2" applyFont="1" applyAlignment="1">
      <alignment horizontal="left" vertical="center"/>
    </xf>
    <xf numFmtId="0" fontId="10" fillId="0" borderId="2" xfId="0" applyFont="1" applyBorder="1" applyAlignment="1">
      <alignment horizontal="center" vertical="center"/>
    </xf>
    <xf numFmtId="164" fontId="11" fillId="0" borderId="2" xfId="0" applyNumberFormat="1" applyFont="1" applyFill="1" applyBorder="1" applyAlignment="1" applyProtection="1">
      <alignment horizontal="center" vertical="center"/>
    </xf>
    <xf numFmtId="0" fontId="0" fillId="0" borderId="0" xfId="0" applyAlignment="1">
      <alignment horizontal="center" vertical="center"/>
    </xf>
    <xf numFmtId="8" fontId="0" fillId="0" borderId="0" xfId="0" applyNumberFormat="1" applyAlignment="1">
      <alignment vertical="center"/>
    </xf>
    <xf numFmtId="3" fontId="0" fillId="0" borderId="0" xfId="0" applyNumberFormat="1" applyAlignment="1">
      <alignment horizontal="center" vertical="center"/>
    </xf>
    <xf numFmtId="164" fontId="13" fillId="0" borderId="0" xfId="0" applyNumberFormat="1" applyFont="1" applyAlignment="1">
      <alignment vertical="center"/>
    </xf>
    <xf numFmtId="8" fontId="13" fillId="0" borderId="0" xfId="0" applyNumberFormat="1" applyFont="1" applyAlignment="1">
      <alignment vertical="center"/>
    </xf>
    <xf numFmtId="8" fontId="10" fillId="0" borderId="3" xfId="0" applyNumberFormat="1" applyFont="1" applyBorder="1" applyAlignment="1">
      <alignment vertical="center"/>
    </xf>
    <xf numFmtId="164" fontId="10" fillId="0" borderId="3" xfId="0" applyNumberFormat="1" applyFont="1" applyBorder="1" applyAlignment="1">
      <alignment vertical="center"/>
    </xf>
    <xf numFmtId="164" fontId="10" fillId="0" borderId="4" xfId="0" applyNumberFormat="1"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8" fontId="4" fillId="0" borderId="0" xfId="0" applyNumberFormat="1" applyFont="1" applyFill="1" applyBorder="1" applyAlignment="1" applyProtection="1">
      <alignment vertical="center"/>
    </xf>
    <xf numFmtId="8" fontId="1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NumberFormat="1" applyFont="1" applyFill="1" applyAlignment="1" applyProtection="1">
      <alignment vertical="center"/>
    </xf>
    <xf numFmtId="0" fontId="11" fillId="0" borderId="2" xfId="0" applyNumberFormat="1" applyFont="1" applyFill="1" applyBorder="1" applyAlignment="1" applyProtection="1">
      <alignment horizontal="center" vertical="center"/>
    </xf>
    <xf numFmtId="8" fontId="11" fillId="0" borderId="0" xfId="0" applyNumberFormat="1" applyFont="1" applyFill="1" applyAlignment="1" applyProtection="1">
      <alignment vertical="center"/>
    </xf>
    <xf numFmtId="0" fontId="13" fillId="0" borderId="0" xfId="0" applyFont="1"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164" fontId="0" fillId="0" borderId="0" xfId="0" applyNumberFormat="1" applyAlignment="1">
      <alignment vertical="center"/>
    </xf>
    <xf numFmtId="0" fontId="10" fillId="0" borderId="2" xfId="0" applyNumberFormat="1" applyFont="1" applyBorder="1" applyAlignment="1">
      <alignment horizontal="center" vertical="center"/>
    </xf>
    <xf numFmtId="0" fontId="10" fillId="0" borderId="3" xfId="0" applyNumberFormat="1" applyFont="1" applyBorder="1" applyAlignment="1">
      <alignment vertical="center"/>
    </xf>
    <xf numFmtId="8" fontId="10" fillId="0" borderId="4" xfId="0" applyNumberFormat="1" applyFont="1" applyBorder="1" applyAlignment="1">
      <alignment vertical="center"/>
    </xf>
    <xf numFmtId="0" fontId="0" fillId="0" borderId="0" xfId="0" applyBorder="1" applyAlignment="1">
      <alignment vertical="center"/>
    </xf>
    <xf numFmtId="0" fontId="6" fillId="0" borderId="0" xfId="0" applyNumberFormat="1" applyFont="1" applyFill="1" applyBorder="1" applyAlignment="1" applyProtection="1">
      <alignment horizontal="center" vertical="center"/>
    </xf>
    <xf numFmtId="0" fontId="0" fillId="0" borderId="0" xfId="0" applyFont="1" applyAlignment="1">
      <alignment horizontal="center" vertical="center"/>
    </xf>
    <xf numFmtId="0" fontId="10" fillId="0" borderId="3" xfId="0" applyFont="1" applyBorder="1" applyAlignment="1">
      <alignment vertical="center"/>
    </xf>
    <xf numFmtId="0" fontId="3" fillId="0" borderId="0" xfId="0" applyFont="1" applyAlignment="1">
      <alignment horizontal="center" vertical="center"/>
    </xf>
    <xf numFmtId="0" fontId="11" fillId="0" borderId="3" xfId="0" applyNumberFormat="1" applyFont="1" applyFill="1" applyBorder="1" applyAlignment="1" applyProtection="1">
      <alignment vertical="center"/>
    </xf>
    <xf numFmtId="0" fontId="3" fillId="0" borderId="0" xfId="0" applyFont="1" applyAlignment="1">
      <alignment vertical="center"/>
    </xf>
    <xf numFmtId="0" fontId="6" fillId="0" borderId="0" xfId="0" applyNumberFormat="1" applyFont="1" applyFill="1" applyBorder="1" applyAlignment="1" applyProtection="1">
      <alignment vertical="center"/>
    </xf>
    <xf numFmtId="164" fontId="7" fillId="0" borderId="0" xfId="0" applyNumberFormat="1" applyFont="1" applyFill="1" applyBorder="1" applyAlignment="1" applyProtection="1">
      <alignment vertical="center"/>
    </xf>
    <xf numFmtId="0" fontId="11" fillId="0" borderId="5"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vertical="center"/>
    </xf>
    <xf numFmtId="164" fontId="11" fillId="0" borderId="12" xfId="0" applyNumberFormat="1" applyFont="1" applyFill="1" applyBorder="1" applyAlignment="1" applyProtection="1">
      <alignment vertical="center"/>
    </xf>
    <xf numFmtId="164" fontId="11" fillId="0" borderId="6" xfId="0" applyNumberFormat="1" applyFont="1" applyFill="1" applyBorder="1" applyAlignment="1" applyProtection="1">
      <alignment vertical="center"/>
    </xf>
    <xf numFmtId="0" fontId="11" fillId="0" borderId="7"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center"/>
    </xf>
    <xf numFmtId="164" fontId="11" fillId="0" borderId="0" xfId="0" applyNumberFormat="1" applyFont="1" applyFill="1" applyBorder="1" applyAlignment="1" applyProtection="1">
      <alignment vertical="center"/>
    </xf>
    <xf numFmtId="164" fontId="11" fillId="0" borderId="8" xfId="0" applyNumberFormat="1" applyFont="1" applyFill="1" applyBorder="1" applyAlignment="1" applyProtection="1">
      <alignment vertical="center"/>
    </xf>
    <xf numFmtId="0" fontId="11" fillId="0" borderId="9"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vertical="center"/>
    </xf>
    <xf numFmtId="164" fontId="11" fillId="0" borderId="11" xfId="0" applyNumberFormat="1" applyFont="1" applyFill="1" applyBorder="1" applyAlignment="1" applyProtection="1">
      <alignment vertical="center"/>
    </xf>
    <xf numFmtId="164" fontId="11" fillId="0" borderId="1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right" vertical="center"/>
    </xf>
    <xf numFmtId="0" fontId="17" fillId="0" borderId="0" xfId="2" applyFont="1" applyBorder="1" applyAlignment="1">
      <alignment horizontal="center" vertical="center" wrapText="1"/>
    </xf>
    <xf numFmtId="166" fontId="18" fillId="0" borderId="0" xfId="2" applyNumberFormat="1" applyFont="1" applyBorder="1" applyAlignment="1">
      <alignment horizontal="left" vertical="center" shrinkToFit="1"/>
    </xf>
    <xf numFmtId="0" fontId="16" fillId="0" borderId="0" xfId="2" applyFont="1" applyBorder="1" applyAlignment="1">
      <alignment horizontal="left" vertical="center"/>
    </xf>
    <xf numFmtId="0" fontId="13" fillId="0" borderId="0" xfId="2" applyFont="1" applyBorder="1" applyAlignment="1">
      <alignment horizontal="center" vertical="center" wrapText="1"/>
    </xf>
    <xf numFmtId="0" fontId="13" fillId="0" borderId="0" xfId="2" applyFont="1" applyBorder="1" applyAlignment="1">
      <alignment horizontal="left" vertical="center" wrapText="1"/>
    </xf>
    <xf numFmtId="1" fontId="16" fillId="0" borderId="0" xfId="2" applyNumberFormat="1" applyFont="1" applyBorder="1" applyAlignment="1">
      <alignment horizontal="center" vertical="center" shrinkToFit="1"/>
    </xf>
    <xf numFmtId="165" fontId="16" fillId="0" borderId="0" xfId="2" applyNumberFormat="1" applyFont="1" applyBorder="1" applyAlignment="1">
      <alignment horizontal="right" vertical="center" shrinkToFit="1"/>
    </xf>
    <xf numFmtId="166" fontId="16" fillId="0" borderId="0" xfId="2" applyNumberFormat="1" applyFont="1" applyBorder="1" applyAlignment="1">
      <alignment horizontal="right" vertical="center" shrinkToFit="1"/>
    </xf>
    <xf numFmtId="2" fontId="16" fillId="0" borderId="0" xfId="2" applyNumberFormat="1" applyFont="1" applyBorder="1" applyAlignment="1">
      <alignment horizontal="center" vertical="center" shrinkToFit="1"/>
    </xf>
    <xf numFmtId="167" fontId="16" fillId="0" borderId="0" xfId="2" applyNumberFormat="1" applyFont="1" applyBorder="1" applyAlignment="1">
      <alignment horizontal="right" vertical="center" shrinkToFit="1"/>
    </xf>
    <xf numFmtId="3" fontId="16" fillId="0" borderId="0" xfId="2" applyNumberFormat="1" applyFont="1" applyBorder="1" applyAlignment="1">
      <alignment horizontal="center" vertical="center" shrinkToFit="1"/>
    </xf>
    <xf numFmtId="0" fontId="17" fillId="0" borderId="0" xfId="2" applyFont="1" applyBorder="1" applyAlignment="1">
      <alignment vertical="center" wrapText="1"/>
    </xf>
    <xf numFmtId="166" fontId="18" fillId="0" borderId="0" xfId="2" applyNumberFormat="1" applyFont="1" applyBorder="1" applyAlignment="1">
      <alignment vertical="center" shrinkToFit="1"/>
    </xf>
    <xf numFmtId="0" fontId="2" fillId="0" borderId="0" xfId="0" applyFont="1" applyBorder="1" applyAlignment="1">
      <alignment vertical="center"/>
    </xf>
    <xf numFmtId="14" fontId="0" fillId="0" borderId="0" xfId="0" applyNumberFormat="1" applyBorder="1" applyAlignment="1">
      <alignment horizontal="left" vertical="center"/>
    </xf>
    <xf numFmtId="0" fontId="16" fillId="0" borderId="0" xfId="2" applyFont="1" applyFill="1" applyBorder="1" applyAlignment="1">
      <alignment vertical="center" wrapText="1"/>
    </xf>
    <xf numFmtId="0" fontId="22" fillId="0" borderId="0" xfId="2" applyFont="1" applyBorder="1" applyAlignment="1">
      <alignment horizontal="left" vertical="top"/>
    </xf>
    <xf numFmtId="166" fontId="21" fillId="0" borderId="0" xfId="2" applyNumberFormat="1" applyFont="1" applyBorder="1" applyAlignment="1">
      <alignment vertical="center" shrinkToFit="1"/>
    </xf>
    <xf numFmtId="0" fontId="19" fillId="0" borderId="0" xfId="2" applyFont="1" applyFill="1" applyBorder="1" applyAlignment="1">
      <alignment vertical="center" wrapText="1"/>
    </xf>
    <xf numFmtId="0" fontId="22" fillId="0" borderId="3" xfId="2" applyFont="1" applyBorder="1" applyAlignment="1">
      <alignment horizontal="left" vertical="center"/>
    </xf>
    <xf numFmtId="166" fontId="21" fillId="0" borderId="3" xfId="2" applyNumberFormat="1" applyFont="1" applyBorder="1" applyAlignment="1">
      <alignment vertical="center" shrinkToFit="1"/>
    </xf>
    <xf numFmtId="166" fontId="21" fillId="0" borderId="4" xfId="2" applyNumberFormat="1" applyFont="1" applyBorder="1" applyAlignment="1">
      <alignment vertical="center" shrinkToFit="1"/>
    </xf>
    <xf numFmtId="0" fontId="22" fillId="0" borderId="3" xfId="2" applyFont="1" applyBorder="1" applyAlignment="1">
      <alignment horizontal="left" vertical="top"/>
    </xf>
    <xf numFmtId="0" fontId="22" fillId="0" borderId="12" xfId="2" applyFont="1" applyBorder="1" applyAlignment="1">
      <alignment horizontal="left" vertical="top"/>
    </xf>
    <xf numFmtId="166" fontId="21" fillId="0" borderId="12" xfId="2" applyNumberFormat="1" applyFont="1" applyBorder="1" applyAlignment="1">
      <alignment vertical="center" shrinkToFit="1"/>
    </xf>
    <xf numFmtId="166" fontId="21" fillId="0" borderId="6" xfId="2" applyNumberFormat="1" applyFont="1" applyBorder="1" applyAlignment="1">
      <alignment vertical="center" shrinkToFit="1"/>
    </xf>
    <xf numFmtId="166" fontId="21" fillId="0" borderId="8" xfId="2" applyNumberFormat="1" applyFont="1" applyBorder="1" applyAlignment="1">
      <alignment vertical="center" shrinkToFit="1"/>
    </xf>
    <xf numFmtId="0" fontId="22" fillId="0" borderId="11" xfId="2" applyFont="1" applyBorder="1" applyAlignment="1">
      <alignment horizontal="left" vertical="top"/>
    </xf>
    <xf numFmtId="166" fontId="21" fillId="0" borderId="11" xfId="2" applyNumberFormat="1" applyFont="1" applyBorder="1" applyAlignment="1">
      <alignment vertical="center" shrinkToFit="1"/>
    </xf>
    <xf numFmtId="166" fontId="21" fillId="0" borderId="10" xfId="2" applyNumberFormat="1" applyFont="1" applyBorder="1" applyAlignment="1">
      <alignment vertical="center" shrinkToFit="1"/>
    </xf>
    <xf numFmtId="0" fontId="19" fillId="0" borderId="3" xfId="2" applyFont="1" applyBorder="1" applyAlignment="1">
      <alignment horizontal="left" vertical="center"/>
    </xf>
    <xf numFmtId="0" fontId="19" fillId="0" borderId="0" xfId="2" applyFont="1" applyFill="1" applyBorder="1" applyAlignment="1">
      <alignment horizontal="center" vertical="center" wrapText="1"/>
    </xf>
    <xf numFmtId="0" fontId="20" fillId="0" borderId="5"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9" xfId="2" applyFont="1" applyBorder="1" applyAlignment="1">
      <alignment horizontal="center" vertical="center" wrapText="1"/>
    </xf>
    <xf numFmtId="0" fontId="23" fillId="0" borderId="0" xfId="2" applyFont="1" applyBorder="1" applyAlignment="1">
      <alignment horizontal="center" vertical="center"/>
    </xf>
    <xf numFmtId="0" fontId="23" fillId="0" borderId="0" xfId="2" applyFont="1" applyBorder="1" applyAlignment="1">
      <alignment horizontal="center" vertical="center" wrapText="1"/>
    </xf>
    <xf numFmtId="0" fontId="23" fillId="0" borderId="0" xfId="2" applyFont="1" applyFill="1" applyBorder="1" applyAlignment="1">
      <alignment horizontal="center" vertical="center"/>
    </xf>
    <xf numFmtId="0" fontId="23" fillId="0" borderId="0" xfId="2" applyFont="1" applyFill="1" applyBorder="1" applyAlignment="1">
      <alignment horizontal="center" vertical="center" wrapText="1"/>
    </xf>
    <xf numFmtId="0" fontId="16" fillId="0" borderId="0" xfId="2" applyFont="1" applyBorder="1" applyAlignment="1">
      <alignment horizontal="center" vertical="center"/>
    </xf>
    <xf numFmtId="0" fontId="13" fillId="0" borderId="0" xfId="1" applyFont="1" applyAlignment="1"/>
    <xf numFmtId="0" fontId="8" fillId="0" borderId="0" xfId="1" applyFont="1" applyAlignment="1">
      <alignment horizontal="center"/>
    </xf>
    <xf numFmtId="0" fontId="24" fillId="0" borderId="0" xfId="3" applyBorder="1" applyAlignment="1">
      <alignment horizontal="left" vertical="top"/>
    </xf>
    <xf numFmtId="0" fontId="16" fillId="0" borderId="0" xfId="3" applyFont="1" applyBorder="1" applyAlignment="1">
      <alignment horizontal="left" vertical="center"/>
    </xf>
    <xf numFmtId="0" fontId="16" fillId="0" borderId="0" xfId="3" applyFont="1" applyBorder="1" applyAlignment="1">
      <alignment vertical="center" wrapText="1"/>
    </xf>
    <xf numFmtId="1" fontId="16" fillId="0" borderId="0" xfId="3" applyNumberFormat="1" applyFont="1" applyBorder="1" applyAlignment="1">
      <alignment horizontal="center" vertical="center" shrinkToFit="1"/>
    </xf>
    <xf numFmtId="0" fontId="17" fillId="0" borderId="0" xfId="3" applyFont="1" applyBorder="1" applyAlignment="1">
      <alignment vertical="center" wrapText="1"/>
    </xf>
    <xf numFmtId="168" fontId="16" fillId="0" borderId="0" xfId="3" applyNumberFormat="1" applyFont="1" applyBorder="1" applyAlignment="1">
      <alignment horizontal="right" vertical="center" shrinkToFit="1"/>
    </xf>
    <xf numFmtId="169" fontId="16" fillId="0" borderId="0" xfId="3" applyNumberFormat="1" applyFont="1" applyBorder="1" applyAlignment="1">
      <alignment horizontal="right" vertical="center" shrinkToFit="1"/>
    </xf>
    <xf numFmtId="1" fontId="16" fillId="0" borderId="0" xfId="3" applyNumberFormat="1" applyFont="1" applyFill="1" applyAlignment="1">
      <alignment horizontal="center" vertical="center" shrinkToFit="1"/>
    </xf>
    <xf numFmtId="0" fontId="13" fillId="0" borderId="0" xfId="3" applyFont="1" applyFill="1" applyAlignment="1">
      <alignment horizontal="center" vertical="center" wrapText="1"/>
    </xf>
    <xf numFmtId="0" fontId="13" fillId="0" borderId="0" xfId="3" applyFont="1" applyFill="1" applyAlignment="1">
      <alignment horizontal="left" vertical="center" wrapText="1"/>
    </xf>
    <xf numFmtId="168" fontId="18" fillId="0" borderId="0" xfId="3" applyNumberFormat="1" applyFont="1" applyBorder="1" applyAlignment="1">
      <alignment vertical="center" shrinkToFit="1"/>
    </xf>
    <xf numFmtId="166" fontId="18" fillId="0" borderId="0" xfId="3" applyNumberFormat="1" applyFont="1" applyBorder="1" applyAlignment="1">
      <alignment vertical="center" shrinkToFit="1"/>
    </xf>
    <xf numFmtId="0" fontId="20" fillId="0" borderId="2" xfId="3" applyFont="1" applyFill="1" applyBorder="1" applyAlignment="1">
      <alignment horizontal="center" vertical="center" wrapText="1"/>
    </xf>
    <xf numFmtId="168" fontId="21" fillId="0" borderId="3" xfId="3" applyNumberFormat="1" applyFont="1" applyFill="1" applyBorder="1" applyAlignment="1">
      <alignment horizontal="right" vertical="center" shrinkToFit="1"/>
    </xf>
    <xf numFmtId="168" fontId="21" fillId="0" borderId="3" xfId="3" applyNumberFormat="1" applyFont="1" applyBorder="1" applyAlignment="1">
      <alignment vertical="center" shrinkToFit="1"/>
    </xf>
    <xf numFmtId="0" fontId="13" fillId="0" borderId="0" xfId="3" applyFont="1" applyBorder="1" applyAlignment="1">
      <alignment vertical="center" wrapText="1"/>
    </xf>
    <xf numFmtId="0" fontId="24" fillId="0" borderId="0" xfId="3" applyBorder="1" applyAlignment="1">
      <alignment horizontal="center" vertical="top"/>
    </xf>
    <xf numFmtId="0" fontId="16" fillId="0" borderId="0" xfId="3" applyFont="1" applyBorder="1" applyAlignment="1">
      <alignment horizontal="center" vertical="center"/>
    </xf>
    <xf numFmtId="0" fontId="20" fillId="0" borderId="3" xfId="3" applyFont="1" applyBorder="1" applyAlignment="1">
      <alignment vertical="center" wrapText="1"/>
    </xf>
    <xf numFmtId="168" fontId="21" fillId="0" borderId="4" xfId="3" applyNumberFormat="1" applyFont="1" applyBorder="1" applyAlignment="1">
      <alignment vertical="center" shrinkToFit="1"/>
    </xf>
    <xf numFmtId="169" fontId="21" fillId="0" borderId="3" xfId="3" applyNumberFormat="1" applyFont="1" applyFill="1" applyBorder="1" applyAlignment="1">
      <alignment horizontal="right" vertical="center" shrinkToFit="1"/>
    </xf>
    <xf numFmtId="0" fontId="20" fillId="0" borderId="2" xfId="3" applyFont="1" applyBorder="1" applyAlignment="1">
      <alignment horizontal="center" vertical="center" wrapText="1"/>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0" fontId="25" fillId="0" borderId="0" xfId="3" applyFont="1" applyBorder="1" applyAlignment="1">
      <alignment horizontal="center" vertical="center" wrapText="1"/>
    </xf>
    <xf numFmtId="1" fontId="21" fillId="0" borderId="0" xfId="3" applyNumberFormat="1" applyFont="1" applyFill="1" applyAlignment="1">
      <alignment horizontal="center" vertical="center" shrinkToFit="1"/>
    </xf>
    <xf numFmtId="0" fontId="20" fillId="0" borderId="0" xfId="3" applyFont="1" applyFill="1" applyAlignment="1">
      <alignment horizontal="center" vertical="center" wrapText="1"/>
    </xf>
    <xf numFmtId="0" fontId="20" fillId="0" borderId="0" xfId="3" applyFont="1" applyFill="1" applyAlignment="1">
      <alignment horizontal="left" vertical="center" wrapText="1"/>
    </xf>
    <xf numFmtId="0" fontId="20" fillId="0" borderId="0" xfId="3" applyFont="1" applyBorder="1" applyAlignment="1">
      <alignment vertical="center" wrapText="1"/>
    </xf>
    <xf numFmtId="0" fontId="21" fillId="0" borderId="0" xfId="3" applyFont="1" applyBorder="1" applyAlignment="1">
      <alignment horizontal="left" vertical="center"/>
    </xf>
    <xf numFmtId="0" fontId="21" fillId="0" borderId="0" xfId="3" applyFont="1" applyBorder="1" applyAlignment="1">
      <alignment vertical="center" wrapText="1"/>
    </xf>
    <xf numFmtId="0" fontId="21" fillId="0" borderId="0" xfId="3" applyFont="1" applyBorder="1" applyAlignment="1">
      <alignment horizontal="left" vertical="top"/>
    </xf>
    <xf numFmtId="0" fontId="25" fillId="0" borderId="12" xfId="3" applyFont="1" applyBorder="1" applyAlignment="1">
      <alignment horizontal="center" vertical="center" wrapText="1"/>
    </xf>
    <xf numFmtId="168" fontId="20" fillId="0" borderId="3" xfId="3" applyNumberFormat="1" applyFont="1" applyBorder="1" applyAlignment="1">
      <alignment vertical="center" wrapText="1"/>
    </xf>
    <xf numFmtId="168" fontId="21" fillId="0" borderId="0" xfId="3" applyNumberFormat="1" applyFont="1" applyBorder="1" applyAlignment="1">
      <alignment vertical="center"/>
    </xf>
    <xf numFmtId="168" fontId="21" fillId="0" borderId="3" xfId="3" applyNumberFormat="1" applyFont="1" applyBorder="1" applyAlignment="1">
      <alignment vertical="center"/>
    </xf>
    <xf numFmtId="0" fontId="21" fillId="0" borderId="3" xfId="3" applyFont="1" applyBorder="1" applyAlignment="1">
      <alignment horizontal="left" vertical="center"/>
    </xf>
    <xf numFmtId="168" fontId="21" fillId="0" borderId="4" xfId="3" applyNumberFormat="1" applyFont="1" applyBorder="1" applyAlignment="1">
      <alignment vertical="center"/>
    </xf>
    <xf numFmtId="168" fontId="20" fillId="0" borderId="4" xfId="3" applyNumberFormat="1" applyFont="1" applyBorder="1" applyAlignment="1">
      <alignment vertical="center" wrapText="1"/>
    </xf>
    <xf numFmtId="0" fontId="20" fillId="0" borderId="0" xfId="3" applyFont="1" applyBorder="1" applyAlignment="1">
      <alignment horizontal="center" vertical="center" wrapText="1"/>
    </xf>
    <xf numFmtId="0" fontId="20" fillId="0" borderId="5" xfId="3" applyFont="1" applyFill="1" applyBorder="1" applyAlignment="1">
      <alignment horizontal="center" vertical="center" wrapText="1"/>
    </xf>
    <xf numFmtId="168" fontId="21" fillId="0" borderId="12" xfId="3" applyNumberFormat="1" applyFont="1" applyFill="1" applyBorder="1" applyAlignment="1">
      <alignment horizontal="right" vertical="center" shrinkToFit="1"/>
    </xf>
    <xf numFmtId="168" fontId="20" fillId="0" borderId="12" xfId="3" applyNumberFormat="1" applyFont="1" applyBorder="1" applyAlignment="1">
      <alignment vertical="center" wrapText="1"/>
    </xf>
    <xf numFmtId="0" fontId="20" fillId="0" borderId="12" xfId="3" applyFont="1" applyBorder="1" applyAlignment="1">
      <alignment vertical="center" wrapText="1"/>
    </xf>
    <xf numFmtId="168" fontId="21" fillId="0" borderId="12" xfId="3" applyNumberFormat="1" applyFont="1" applyBorder="1" applyAlignment="1">
      <alignment vertical="center" shrinkToFit="1"/>
    </xf>
    <xf numFmtId="168" fontId="21" fillId="0" borderId="6" xfId="3" applyNumberFormat="1" applyFont="1" applyBorder="1" applyAlignment="1">
      <alignment vertical="center" shrinkToFit="1"/>
    </xf>
    <xf numFmtId="0" fontId="20" fillId="0" borderId="9" xfId="3" applyFont="1" applyBorder="1" applyAlignment="1">
      <alignment horizontal="center" vertical="center" wrapText="1"/>
    </xf>
    <xf numFmtId="0" fontId="20" fillId="0" borderId="11" xfId="3" applyFont="1" applyBorder="1" applyAlignment="1">
      <alignment vertical="center" wrapText="1"/>
    </xf>
    <xf numFmtId="168" fontId="21" fillId="0" borderId="11" xfId="3" applyNumberFormat="1" applyFont="1" applyBorder="1" applyAlignment="1">
      <alignment vertical="center"/>
    </xf>
    <xf numFmtId="0" fontId="21" fillId="0" borderId="11" xfId="3" applyFont="1" applyBorder="1" applyAlignment="1">
      <alignment horizontal="left" vertical="center"/>
    </xf>
    <xf numFmtId="168" fontId="21" fillId="0" borderId="10" xfId="3" applyNumberFormat="1" applyFont="1" applyBorder="1" applyAlignment="1">
      <alignment vertical="center"/>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0" fontId="0" fillId="0" borderId="0" xfId="0" applyAlignment="1">
      <alignment horizontal="left"/>
    </xf>
    <xf numFmtId="7" fontId="4" fillId="0" borderId="0" xfId="4" applyNumberFormat="1" applyFont="1" applyFill="1" applyBorder="1" applyAlignment="1" applyProtection="1">
      <alignment horizontal="center"/>
    </xf>
    <xf numFmtId="7" fontId="0" fillId="0" borderId="0" xfId="4" applyNumberFormat="1" applyFont="1" applyAlignment="1">
      <alignment horizontal="center"/>
    </xf>
    <xf numFmtId="3" fontId="4" fillId="0" borderId="0" xfId="0" applyNumberFormat="1" applyFont="1" applyFill="1" applyBorder="1" applyAlignment="1" applyProtection="1">
      <alignment horizontal="center"/>
    </xf>
    <xf numFmtId="3" fontId="0" fillId="0" borderId="0" xfId="0" applyNumberFormat="1" applyAlignment="1">
      <alignment horizontal="center"/>
    </xf>
    <xf numFmtId="7" fontId="10" fillId="0" borderId="4" xfId="0" applyNumberFormat="1" applyFont="1" applyBorder="1" applyAlignment="1">
      <alignment horizontal="center"/>
    </xf>
    <xf numFmtId="0" fontId="0" fillId="0" borderId="0" xfId="0" applyAlignment="1">
      <alignment horizontal="left" wrapText="1"/>
    </xf>
    <xf numFmtId="0" fontId="25" fillId="0" borderId="9" xfId="3" applyFont="1" applyBorder="1" applyAlignment="1">
      <alignment horizontal="left" vertical="center" wrapText="1"/>
    </xf>
    <xf numFmtId="0" fontId="25" fillId="0" borderId="11" xfId="3" applyFont="1" applyBorder="1" applyAlignment="1">
      <alignment horizontal="left" vertical="center" wrapText="1"/>
    </xf>
    <xf numFmtId="0" fontId="21" fillId="0" borderId="10" xfId="3" applyFont="1" applyBorder="1" applyAlignment="1">
      <alignment horizontal="left" vertical="center" wrapText="1"/>
    </xf>
    <xf numFmtId="0" fontId="20" fillId="0" borderId="9" xfId="3" applyFont="1" applyBorder="1" applyAlignment="1">
      <alignment horizontal="left" vertical="center" wrapText="1"/>
    </xf>
    <xf numFmtId="0" fontId="20" fillId="0" borderId="10" xfId="3" applyFont="1" applyBorder="1" applyAlignment="1">
      <alignment horizontal="left" vertical="center" wrapText="1"/>
    </xf>
    <xf numFmtId="1" fontId="13" fillId="0" borderId="0" xfId="3" applyNumberFormat="1" applyFont="1" applyBorder="1" applyAlignment="1">
      <alignment horizontal="center" vertical="center" shrinkToFit="1"/>
    </xf>
    <xf numFmtId="0" fontId="28" fillId="0" borderId="0" xfId="3" applyFont="1" applyBorder="1" applyAlignment="1">
      <alignment horizontal="center" vertical="center" wrapText="1"/>
    </xf>
    <xf numFmtId="164" fontId="28" fillId="0" borderId="0" xfId="3" applyNumberFormat="1" applyFont="1" applyBorder="1" applyAlignment="1">
      <alignment horizontal="center" vertical="center" wrapText="1"/>
    </xf>
    <xf numFmtId="164" fontId="13" fillId="0" borderId="0" xfId="3" applyNumberFormat="1" applyFont="1" applyBorder="1" applyAlignment="1">
      <alignment horizontal="center" vertical="center" shrinkToFit="1"/>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7" fontId="20" fillId="0" borderId="4" xfId="0" applyNumberFormat="1" applyFont="1" applyBorder="1" applyAlignment="1">
      <alignment horizontal="center" vertical="center" shrinkToFit="1"/>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0" fontId="0" fillId="3" borderId="0" xfId="0" applyFill="1"/>
    <xf numFmtId="0" fontId="28" fillId="0" borderId="0" xfId="3" applyFont="1" applyBorder="1" applyAlignment="1">
      <alignment horizontal="left" vertical="center" wrapText="1"/>
    </xf>
    <xf numFmtId="0" fontId="20" fillId="0" borderId="7" xfId="3" applyFont="1" applyBorder="1" applyAlignment="1">
      <alignment horizontal="left" vertical="center" wrapText="1"/>
    </xf>
    <xf numFmtId="0" fontId="20" fillId="0" borderId="8" xfId="3" applyFont="1" applyBorder="1" applyAlignment="1">
      <alignment horizontal="left" vertical="center" wrapText="1"/>
    </xf>
    <xf numFmtId="3" fontId="28" fillId="0" borderId="0" xfId="3" applyNumberFormat="1" applyFont="1" applyBorder="1" applyAlignment="1">
      <alignment horizontal="center" vertical="center" wrapText="1"/>
    </xf>
    <xf numFmtId="3" fontId="13" fillId="0" borderId="0" xfId="3" applyNumberFormat="1" applyFont="1" applyBorder="1" applyAlignment="1">
      <alignment horizontal="center" vertical="center" shrinkToFit="1"/>
    </xf>
    <xf numFmtId="3" fontId="13" fillId="0" borderId="0" xfId="3" applyNumberFormat="1" applyFont="1" applyBorder="1" applyAlignment="1">
      <alignment horizontal="center" vertical="center" wrapText="1"/>
    </xf>
    <xf numFmtId="7" fontId="10" fillId="2" borderId="4" xfId="0" applyNumberFormat="1" applyFont="1" applyFill="1" applyBorder="1" applyAlignment="1">
      <alignment horizontal="center" vertical="center" shrinkToFit="1"/>
    </xf>
    <xf numFmtId="2" fontId="16" fillId="0" borderId="0" xfId="3" applyNumberFormat="1" applyFont="1" applyBorder="1" applyAlignment="1">
      <alignment horizontal="center" vertical="center" shrinkToFit="1"/>
    </xf>
    <xf numFmtId="170" fontId="16" fillId="0" borderId="0" xfId="3" applyNumberFormat="1" applyFont="1" applyBorder="1" applyAlignment="1">
      <alignment horizontal="right" vertical="center" shrinkToFit="1"/>
    </xf>
    <xf numFmtId="164" fontId="29" fillId="0" borderId="0" xfId="3" applyNumberFormat="1" applyFont="1" applyBorder="1" applyAlignment="1">
      <alignment horizontal="right" vertical="top"/>
    </xf>
    <xf numFmtId="0" fontId="29" fillId="0" borderId="0" xfId="3" applyFont="1" applyBorder="1" applyAlignment="1">
      <alignment horizontal="left" vertical="top"/>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1" fillId="0" borderId="5"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3" borderId="2" xfId="0" applyFont="1" applyFill="1" applyBorder="1" applyAlignment="1">
      <alignment horizontal="right"/>
    </xf>
    <xf numFmtId="0" fontId="10" fillId="3" borderId="3" xfId="0" applyFont="1" applyFill="1" applyBorder="1" applyAlignment="1">
      <alignment horizontal="right"/>
    </xf>
    <xf numFmtId="0" fontId="10" fillId="2" borderId="2" xfId="0" applyFont="1" applyFill="1" applyBorder="1" applyAlignment="1">
      <alignment horizontal="right"/>
    </xf>
    <xf numFmtId="0" fontId="10" fillId="2" borderId="3" xfId="0" applyFont="1" applyFill="1" applyBorder="1" applyAlignment="1">
      <alignment horizontal="right"/>
    </xf>
    <xf numFmtId="0" fontId="10" fillId="0" borderId="5" xfId="0" applyFont="1" applyBorder="1" applyAlignment="1">
      <alignment horizontal="center"/>
    </xf>
    <xf numFmtId="0" fontId="10" fillId="0" borderId="12" xfId="0" applyFont="1" applyBorder="1" applyAlignment="1">
      <alignment horizontal="center"/>
    </xf>
    <xf numFmtId="0" fontId="10" fillId="0" borderId="6" xfId="0" applyFont="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20" fillId="0" borderId="2" xfId="3" applyFont="1" applyFill="1" applyBorder="1" applyAlignment="1">
      <alignment horizontal="right" vertical="center" wrapText="1"/>
    </xf>
    <xf numFmtId="0" fontId="20" fillId="0" borderId="3" xfId="3" applyFont="1" applyFill="1" applyBorder="1" applyAlignment="1">
      <alignment horizontal="right" vertical="center" wrapText="1"/>
    </xf>
    <xf numFmtId="0" fontId="11" fillId="0" borderId="5" xfId="0" applyNumberFormat="1" applyFont="1" applyFill="1" applyBorder="1" applyAlignment="1" applyProtection="1">
      <alignment horizontal="center"/>
    </xf>
    <xf numFmtId="0" fontId="11" fillId="0" borderId="6" xfId="0" applyNumberFormat="1" applyFont="1" applyFill="1" applyBorder="1" applyAlignment="1" applyProtection="1">
      <alignment horizontal="center"/>
    </xf>
    <xf numFmtId="7" fontId="0" fillId="0" borderId="12" xfId="0" applyNumberFormat="1" applyBorder="1" applyAlignment="1">
      <alignment horizontal="center"/>
    </xf>
    <xf numFmtId="0" fontId="0" fillId="0" borderId="12" xfId="0" applyBorder="1" applyAlignment="1">
      <alignment horizontal="center"/>
    </xf>
    <xf numFmtId="0" fontId="20" fillId="0" borderId="5"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2"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3" xfId="2" applyFont="1" applyBorder="1" applyAlignment="1">
      <alignment horizontal="center" vertical="center" wrapText="1"/>
    </xf>
    <xf numFmtId="0" fontId="21" fillId="0" borderId="2"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0" fontId="20" fillId="0" borderId="2" xfId="3" applyFont="1" applyBorder="1" applyAlignment="1">
      <alignment horizontal="center" vertical="center" wrapText="1"/>
    </xf>
    <xf numFmtId="0" fontId="20" fillId="0" borderId="4" xfId="3" applyFont="1" applyBorder="1" applyAlignment="1">
      <alignment horizontal="center" vertical="center" wrapText="1"/>
    </xf>
    <xf numFmtId="0" fontId="13" fillId="0" borderId="0" xfId="3" applyFont="1" applyBorder="1" applyAlignment="1">
      <alignment horizontal="left" vertical="center" wrapText="1"/>
    </xf>
    <xf numFmtId="0" fontId="16" fillId="0" borderId="0" xfId="3" applyFont="1" applyBorder="1" applyAlignment="1">
      <alignment horizontal="left" vertical="center" wrapText="1"/>
    </xf>
    <xf numFmtId="0" fontId="13" fillId="0" borderId="0" xfId="3" applyFont="1" applyBorder="1" applyAlignment="1">
      <alignment horizontal="center" vertical="center" wrapText="1"/>
    </xf>
    <xf numFmtId="0" fontId="16" fillId="0" borderId="0" xfId="3" applyFont="1" applyBorder="1" applyAlignment="1">
      <alignment horizontal="center" vertical="center" wrapText="1"/>
    </xf>
    <xf numFmtId="0" fontId="30" fillId="2" borderId="14" xfId="3" applyFont="1" applyFill="1" applyBorder="1" applyAlignment="1">
      <alignment horizontal="center" vertical="center"/>
    </xf>
    <xf numFmtId="0" fontId="30" fillId="2" borderId="15" xfId="3" applyFont="1" applyFill="1" applyBorder="1" applyAlignment="1">
      <alignment horizontal="center" vertical="center"/>
    </xf>
    <xf numFmtId="168" fontId="29" fillId="2" borderId="15" xfId="3" applyNumberFormat="1" applyFont="1" applyFill="1" applyBorder="1" applyAlignment="1">
      <alignment horizontal="center" vertical="center"/>
    </xf>
    <xf numFmtId="0" fontId="24" fillId="2" borderId="15" xfId="3" applyFill="1" applyBorder="1" applyAlignment="1">
      <alignment horizontal="left" vertical="center"/>
    </xf>
    <xf numFmtId="168" fontId="29" fillId="2" borderId="16" xfId="3" applyNumberFormat="1" applyFont="1" applyFill="1" applyBorder="1" applyAlignment="1">
      <alignment horizontal="center" vertical="center"/>
    </xf>
    <xf numFmtId="44" fontId="16" fillId="0" borderId="0" xfId="3" applyNumberFormat="1" applyFont="1" applyBorder="1" applyAlignment="1">
      <alignment horizontal="right" vertical="center" shrinkToFit="1"/>
    </xf>
    <xf numFmtId="0" fontId="20" fillId="2" borderId="14" xfId="3" applyFont="1" applyFill="1" applyBorder="1" applyAlignment="1">
      <alignment horizontal="center" vertical="center" wrapText="1"/>
    </xf>
    <xf numFmtId="0" fontId="20" fillId="2" borderId="15" xfId="3" applyFont="1" applyFill="1" applyBorder="1" applyAlignment="1">
      <alignment horizontal="center" vertical="center" wrapText="1"/>
    </xf>
    <xf numFmtId="168" fontId="20" fillId="2" borderId="15" xfId="3" applyNumberFormat="1" applyFont="1" applyFill="1" applyBorder="1" applyAlignment="1">
      <alignment vertical="center" wrapText="1"/>
    </xf>
    <xf numFmtId="0" fontId="20" fillId="2" borderId="15" xfId="3" applyFont="1" applyFill="1" applyBorder="1" applyAlignment="1">
      <alignment vertical="center" wrapText="1"/>
    </xf>
    <xf numFmtId="168" fontId="20" fillId="2" borderId="16" xfId="3" applyNumberFormat="1" applyFont="1" applyFill="1" applyBorder="1" applyAlignment="1">
      <alignment vertical="center" wrapText="1"/>
    </xf>
    <xf numFmtId="0" fontId="20" fillId="0" borderId="5" xfId="3" applyFont="1" applyFill="1" applyBorder="1" applyAlignment="1">
      <alignment horizontal="center" vertical="center" wrapText="1"/>
    </xf>
    <xf numFmtId="0" fontId="20" fillId="0" borderId="12" xfId="3" applyFont="1" applyFill="1" applyBorder="1" applyAlignment="1">
      <alignment horizontal="center" vertical="center" wrapText="1"/>
    </xf>
    <xf numFmtId="168" fontId="20" fillId="0" borderId="6" xfId="3" applyNumberFormat="1" applyFont="1" applyBorder="1" applyAlignment="1">
      <alignment vertical="center" wrapText="1"/>
    </xf>
    <xf numFmtId="0" fontId="32" fillId="0" borderId="18" xfId="3" applyFont="1" applyBorder="1" applyAlignment="1">
      <alignment horizontal="center" vertical="center"/>
    </xf>
    <xf numFmtId="0" fontId="32" fillId="0" borderId="19" xfId="3" applyFont="1" applyBorder="1" applyAlignment="1">
      <alignment horizontal="center" vertical="center"/>
    </xf>
    <xf numFmtId="164" fontId="32" fillId="0" borderId="20" xfId="3" applyNumberFormat="1" applyFont="1" applyBorder="1" applyAlignment="1">
      <alignment horizontal="right" vertical="center"/>
    </xf>
    <xf numFmtId="0" fontId="17" fillId="0" borderId="17" xfId="3" applyFont="1" applyBorder="1" applyAlignment="1">
      <alignment horizontal="center" vertical="center" wrapText="1"/>
    </xf>
    <xf numFmtId="0" fontId="21" fillId="0" borderId="3" xfId="3" applyFont="1" applyBorder="1" applyAlignment="1">
      <alignment vertical="center" wrapText="1"/>
    </xf>
    <xf numFmtId="0" fontId="26" fillId="0" borderId="0" xfId="0" applyFont="1" applyBorder="1" applyAlignment="1">
      <alignment horizontal="left" vertical="center" wrapText="1"/>
    </xf>
    <xf numFmtId="168" fontId="16" fillId="0" borderId="0" xfId="0" applyNumberFormat="1" applyFont="1" applyBorder="1" applyAlignment="1">
      <alignment horizontal="center" vertical="top" shrinkToFit="1"/>
    </xf>
    <xf numFmtId="0" fontId="13" fillId="0" borderId="0" xfId="0" applyFont="1" applyBorder="1" applyAlignment="1">
      <alignment horizontal="center" vertical="top" wrapText="1"/>
    </xf>
    <xf numFmtId="171" fontId="16" fillId="0" borderId="0" xfId="0" applyNumberFormat="1" applyFont="1" applyBorder="1" applyAlignment="1">
      <alignment horizontal="center" vertical="top" shrinkToFit="1"/>
    </xf>
    <xf numFmtId="168" fontId="16" fillId="0" borderId="0" xfId="0" applyNumberFormat="1" applyFont="1" applyBorder="1" applyAlignment="1">
      <alignment horizontal="center" vertical="center" shrinkToFit="1"/>
    </xf>
    <xf numFmtId="171" fontId="16" fillId="0" borderId="0"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13" fillId="0" borderId="0" xfId="0" applyFont="1" applyBorder="1" applyAlignment="1">
      <alignment horizontal="center" vertical="center" wrapText="1"/>
    </xf>
    <xf numFmtId="1" fontId="19" fillId="0" borderId="0" xfId="3" applyNumberFormat="1" applyFont="1" applyFill="1" applyAlignment="1">
      <alignment horizontal="center" vertical="center" shrinkToFit="1"/>
    </xf>
    <xf numFmtId="0" fontId="28" fillId="0" borderId="0" xfId="3" applyFont="1" applyFill="1" applyAlignment="1">
      <alignment horizontal="center" vertical="center" wrapText="1"/>
    </xf>
    <xf numFmtId="0" fontId="28" fillId="0" borderId="0" xfId="3" applyFont="1" applyFill="1" applyAlignment="1">
      <alignment horizontal="left" vertical="center" wrapText="1"/>
    </xf>
    <xf numFmtId="0" fontId="28" fillId="2" borderId="14" xfId="3" applyFont="1" applyFill="1" applyBorder="1" applyAlignment="1">
      <alignment horizontal="center" vertical="center" wrapText="1"/>
    </xf>
    <xf numFmtId="0" fontId="28" fillId="2" borderId="15" xfId="3" applyFont="1" applyFill="1" applyBorder="1" applyAlignment="1">
      <alignment horizontal="center" vertical="center" wrapText="1"/>
    </xf>
    <xf numFmtId="1" fontId="16" fillId="0" borderId="0" xfId="3" applyNumberFormat="1" applyFont="1" applyFill="1" applyBorder="1" applyAlignment="1">
      <alignment horizontal="center" vertical="center" shrinkToFit="1"/>
    </xf>
    <xf numFmtId="170" fontId="16" fillId="0" borderId="0" xfId="3" applyNumberFormat="1" applyFont="1" applyFill="1" applyBorder="1" applyAlignment="1">
      <alignment horizontal="right" vertical="center" shrinkToFit="1"/>
    </xf>
    <xf numFmtId="168" fontId="26" fillId="2" borderId="15" xfId="3" applyNumberFormat="1" applyFont="1" applyFill="1" applyBorder="1" applyAlignment="1">
      <alignment vertical="center" wrapText="1"/>
    </xf>
    <xf numFmtId="0" fontId="28" fillId="2" borderId="15" xfId="3" applyFont="1" applyFill="1" applyBorder="1" applyAlignment="1">
      <alignment vertical="center" wrapText="1"/>
    </xf>
    <xf numFmtId="168" fontId="26" fillId="2" borderId="16" xfId="3" applyNumberFormat="1" applyFont="1" applyFill="1" applyBorder="1" applyAlignment="1">
      <alignment vertical="center" wrapText="1"/>
    </xf>
    <xf numFmtId="0" fontId="13" fillId="0" borderId="0" xfId="0" applyFont="1" applyBorder="1" applyAlignment="1">
      <alignment horizontal="left" vertical="top" wrapText="1"/>
    </xf>
    <xf numFmtId="0" fontId="0" fillId="0" borderId="0" xfId="0" applyAlignment="1">
      <alignment vertical="center" wrapText="1"/>
    </xf>
    <xf numFmtId="0" fontId="0" fillId="0" borderId="0" xfId="0" applyAlignment="1">
      <alignment wrapText="1"/>
    </xf>
    <xf numFmtId="0" fontId="33" fillId="0" borderId="0" xfId="0" applyFont="1" applyAlignment="1">
      <alignment vertical="top" wrapText="1"/>
    </xf>
    <xf numFmtId="0" fontId="0" fillId="0" borderId="0" xfId="0" applyBorder="1" applyAlignment="1">
      <alignment wrapText="1"/>
    </xf>
    <xf numFmtId="0" fontId="0" fillId="0" borderId="0" xfId="0" applyAlignment="1">
      <alignment vertical="top" wrapText="1"/>
    </xf>
    <xf numFmtId="0" fontId="26" fillId="0" borderId="1" xfId="0" applyFont="1" applyBorder="1" applyAlignment="1">
      <alignment vertical="center" wrapText="1"/>
    </xf>
    <xf numFmtId="0" fontId="26" fillId="0" borderId="1" xfId="0" applyFont="1" applyBorder="1" applyAlignment="1">
      <alignment wrapText="1"/>
    </xf>
    <xf numFmtId="0" fontId="26" fillId="0" borderId="1" xfId="0" applyFont="1" applyBorder="1" applyAlignment="1">
      <alignment vertical="top" wrapText="1"/>
    </xf>
    <xf numFmtId="0" fontId="31" fillId="0" borderId="0" xfId="3" applyFont="1" applyFill="1" applyAlignment="1">
      <alignment horizontal="center" vertical="center" wrapText="1"/>
    </xf>
    <xf numFmtId="0" fontId="13" fillId="0" borderId="1" xfId="0" applyFont="1" applyBorder="1" applyAlignment="1">
      <alignment vertical="top" wrapText="1"/>
    </xf>
    <xf numFmtId="0" fontId="0" fillId="0" borderId="0" xfId="0" applyBorder="1" applyAlignment="1">
      <alignment vertical="top" wrapText="1"/>
    </xf>
    <xf numFmtId="168" fontId="34" fillId="0" borderId="0" xfId="0" applyNumberFormat="1" applyFont="1" applyBorder="1" applyAlignment="1">
      <alignment vertical="top" shrinkToFit="1"/>
    </xf>
  </cellXfs>
  <cellStyles count="5">
    <cellStyle name="Currency" xfId="4" builtinId="4"/>
    <cellStyle name="Hyperlink" xfId="1" builtinId="8"/>
    <cellStyle name="Normal" xfId="0" builtinId="0"/>
    <cellStyle name="Normal 2" xfId="2" xr:uid="{066B2C3C-DFA1-4024-843E-E25109492581}"/>
    <cellStyle name="Normal 3" xfId="3" xr:uid="{594D58DE-4EB8-49A5-8299-AB176C35DAEE}"/>
  </cellStyles>
  <dxfs count="382">
    <dxf>
      <font>
        <b val="0"/>
        <strike val="0"/>
        <outline val="0"/>
        <shadow val="0"/>
        <u val="none"/>
        <vertAlign val="baseline"/>
        <sz val="11"/>
        <color rgb="FF000000"/>
        <name val="Calibri"/>
        <family val="2"/>
        <scheme val="minor"/>
      </font>
      <numFmt numFmtId="171" formatCode="\$\ #,##0.00_);\(\$\ #,##0.00\)"/>
      <alignment horizontal="center" vertical="top" textRotation="0" wrapText="0" indent="0" justifyLastLine="0" shrinkToFit="1" readingOrder="0"/>
    </dxf>
    <dxf>
      <font>
        <b val="0"/>
        <strike val="0"/>
        <outline val="0"/>
        <shadow val="0"/>
        <u val="none"/>
        <vertAlign val="baseline"/>
        <sz val="11"/>
        <name val="Calibri"/>
        <family val="2"/>
        <scheme val="minor"/>
      </font>
    </dxf>
    <dxf>
      <font>
        <b val="0"/>
        <i val="0"/>
        <strike val="0"/>
        <condense val="0"/>
        <extend val="0"/>
        <outline val="0"/>
        <shadow val="0"/>
        <u val="none"/>
        <vertAlign val="baseline"/>
        <sz val="11"/>
        <color rgb="FF000000"/>
        <name val="Calibri"/>
        <family val="2"/>
        <scheme val="minor"/>
      </font>
      <numFmt numFmtId="168" formatCode="\$\ #,##0.00"/>
      <alignment horizontal="center"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fill>
        <patternFill patternType="solid">
          <fgColor indexed="64"/>
          <bgColor rgb="FFD9D9D9"/>
        </patternFill>
      </fill>
      <alignment horizontal="center" vertical="top"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center"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70" formatCode="&quot;$&quot;#,##0.00;[Red]&quot;$&quot;#,##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i val="0"/>
        <strike val="0"/>
        <condense val="0"/>
        <extend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34" formatCode="_(&quot;$&quot;* #,##0.00_);_(&quot;$&quot;* \(#,##0.00\);_(&quot;$&quot;* &quot;-&quot;??_);_(@_)"/>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70" formatCode="&quot;$&quot;#,##0.00;[Red]&quot;$&quot;#,##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70" formatCode="&quot;$&quot;#,##0.00;[Red]&quot;$&quot;#,##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i val="0"/>
        <strike val="0"/>
        <condense val="0"/>
        <extend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9"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9"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i val="0"/>
        <strike val="0"/>
        <condense val="0"/>
        <extend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strike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i val="0"/>
        <strike val="0"/>
        <condense val="0"/>
        <extend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8" formatCode="\$\ #,##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70" formatCode="&quot;$&quot;#,##0.00;[Red]&quot;$&quot;#,##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70" formatCode="&quot;$&quot;#,##0.00;[Red]&quot;$&quot;#,##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border diagonalUp="0" diagonalDown="0">
        <left style="thin">
          <color rgb="FF000000"/>
        </left>
        <right style="thin">
          <color rgb="FF000000"/>
        </right>
      </border>
    </dxf>
    <dxf>
      <font>
        <b/>
        <i val="0"/>
        <strike val="0"/>
        <condense val="0"/>
        <extend val="0"/>
        <outline val="0"/>
        <shadow val="0"/>
        <u val="none"/>
        <vertAlign val="baseline"/>
        <sz val="12"/>
        <color theme="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7"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7"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rgb="FF000000"/>
        <name val="Calibri"/>
        <family val="2"/>
        <scheme val="minor"/>
      </font>
      <alignment horizontal="right" vertical="center" textRotation="0" wrapText="0" indent="0" justifyLastLine="0" shrinkToFit="1" readingOrder="0"/>
    </dxf>
    <dxf>
      <font>
        <b val="0"/>
        <i val="0"/>
        <strike val="0"/>
        <condense val="0"/>
        <extend val="0"/>
        <outline val="0"/>
        <shadow val="0"/>
        <u val="none"/>
        <vertAlign val="baseline"/>
        <sz val="12"/>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7"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7"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dxf>
    <dxf>
      <border outline="0">
        <right style="thin">
          <color rgb="FF000000"/>
        </right>
        <top style="medium">
          <color indexed="64"/>
        </top>
      </border>
    </dxf>
    <dxf>
      <font>
        <b val="0"/>
        <i val="0"/>
        <strike val="0"/>
        <condense val="0"/>
        <extend val="0"/>
        <outline val="0"/>
        <shadow val="0"/>
        <u val="none"/>
        <vertAlign val="baseline"/>
        <sz val="11"/>
        <color rgb="FF000000"/>
        <name val="Calibri"/>
        <family val="2"/>
        <scheme val="minor"/>
      </font>
      <alignment horizontal="right" vertical="center" textRotation="0" wrapText="0" indent="0" justifyLastLine="0" shrinkToFit="1" readingOrder="0"/>
    </dxf>
    <dxf>
      <font>
        <b val="0"/>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66" formatCode="\$#,##0.00"/>
      <alignment horizontal="right" vertical="center" textRotation="0" wrapText="0" indent="0" justifyLastLine="0" shrinkToFit="1" readingOrder="0"/>
    </dxf>
    <dxf>
      <font>
        <b val="0"/>
        <i val="0"/>
        <strike val="0"/>
        <condense val="0"/>
        <extend val="0"/>
        <outline val="0"/>
        <shadow val="0"/>
        <u val="none"/>
        <vertAlign val="baseline"/>
        <sz val="11"/>
        <color rgb="FF000000"/>
        <name val="Calibri"/>
        <family val="2"/>
        <scheme val="minor"/>
      </font>
      <numFmt numFmtId="1" formatCode="0"/>
      <alignment horizontal="center" vertical="center" textRotation="0" wrapText="0" indent="0" justifyLastLine="0" shrinkToFit="1"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border outline="0">
        <right style="thin">
          <color rgb="FF000000"/>
        </right>
      </border>
    </dxf>
    <dxf>
      <font>
        <b val="0"/>
        <i val="0"/>
        <strike val="0"/>
        <condense val="0"/>
        <extend val="0"/>
        <outline val="0"/>
        <shadow val="0"/>
        <u val="none"/>
        <vertAlign val="baseline"/>
        <sz val="11"/>
        <color rgb="FF000000"/>
        <name val="Calibri"/>
        <family val="2"/>
        <scheme val="minor"/>
      </font>
      <alignment horizontal="right" vertical="center" textRotation="0" wrapText="0" indent="0" justifyLastLine="0" shrinkToFit="1" readingOrder="0"/>
    </dxf>
    <dxf>
      <font>
        <b val="0"/>
        <strike val="0"/>
        <outline val="0"/>
        <shadow val="0"/>
        <u val="none"/>
        <vertAlign val="baseline"/>
        <sz val="12"/>
        <color theme="0"/>
        <name val="Calibri"/>
        <family val="2"/>
        <scheme val="minor"/>
      </font>
      <alignment horizontal="center" vertical="center" textRotation="0" indent="0" justifyLastLine="0" shrinkToFit="0" readingOrder="0"/>
    </dxf>
    <dxf>
      <numFmt numFmtId="0" formatCode="General"/>
      <alignment vertical="center" textRotation="0" wrapText="0" indent="0" justifyLastLine="0" shrinkToFit="0" readingOrder="0"/>
    </dxf>
    <dxf>
      <numFmt numFmtId="0" formatCode="General"/>
      <alignment vertical="center" textRotation="0" wrapText="0" indent="0" justifyLastLine="0" shrinkToFit="0" readingOrder="0"/>
    </dxf>
    <dxf>
      <numFmt numFmtId="0" formatCode="General"/>
      <alignment vertical="center" textRotation="0" wrapText="0" indent="0" justifyLastLine="0" shrinkToFit="0" readingOrder="0"/>
    </dxf>
    <dxf>
      <numFmt numFmtId="0" formatCode="General"/>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font>
        <color indexed="8"/>
      </font>
      <numFmt numFmtId="11" formatCode="&quot;$&quot;#,##0.00_);\(&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alignment horizontal="center" vertical="center" textRotation="0" indent="0" justifyLastLine="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numFmt numFmtId="3" formatCode="#,##0"/>
      <alignment horizontal="center" vertical="center" textRotation="0" indent="0" justifyLastLine="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rgb="FF000000"/>
        <name val="Calibri"/>
        <family val="2"/>
        <scheme val="minor"/>
      </font>
      <alignment horizontal="left" vertical="top"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color indexed="8"/>
      </font>
      <numFmt numFmtId="11" formatCode="&quot;$&quot;#,##0.00_);\(&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alignment horizontal="center" vertical="center" textRotation="0" indent="0" justifyLastLine="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numFmt numFmtId="3" formatCode="#,##0"/>
      <alignment horizontal="center" vertical="center" textRotation="0" indent="0" justifyLastLine="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rgb="FF000000"/>
        <name val="Calibri"/>
        <family val="2"/>
        <scheme val="minor"/>
      </font>
      <alignment horizontal="left" vertical="top"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color indexed="8"/>
      </font>
      <numFmt numFmtId="11" formatCode="&quot;$&quot;#,##0.00_);\(&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alignment horizontal="center" vertical="center" textRotation="0" indent="0" justifyLastLine="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numFmt numFmtId="3" formatCode="#,##0"/>
      <alignment horizontal="center" vertical="center" textRotation="0" indent="0" justifyLastLine="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rgb="FF000000"/>
        <name val="Calibri"/>
        <family val="2"/>
        <scheme val="minor"/>
      </font>
      <alignment horizontal="left" vertical="top"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color indexed="8"/>
      </font>
      <numFmt numFmtId="11" formatCode="&quot;$&quot;#,##0.00_);\(&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alignment horizontal="center" vertical="center" textRotation="0" indent="0" justifyLastLine="0" readingOrder="0"/>
    </dxf>
    <dxf>
      <numFmt numFmtId="3" formatCode="#,##0"/>
      <alignment horizontal="center" vertical="center" textRotation="0" indent="0" justifyLastLine="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rgb="FF000000"/>
        <name val="Calibri"/>
        <family val="2"/>
        <scheme val="minor"/>
      </font>
      <alignment horizontal="left" vertical="top"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color indexed="8"/>
      </font>
      <numFmt numFmtId="11" formatCode="&quot;$&quot;#,##0.00_);\(&quot;$&quot;#,##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alignment horizontal="center" vertical="center" textRotation="0" indent="0" justifyLastLine="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1" readingOrder="0"/>
      <protection locked="1" hidden="0"/>
    </dxf>
    <dxf>
      <numFmt numFmtId="3" formatCode="#,##0"/>
      <alignment horizontal="center" vertical="center" textRotation="0" indent="0" justifyLastLine="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rgb="FF000000"/>
        <name val="Calibri"/>
        <family val="2"/>
        <scheme val="minor"/>
      </font>
      <alignment horizontal="left" vertical="top"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numFmt numFmtId="11" formatCode="&quot;$&quot;#,##0.00_);\(&quot;$&quot;#,##0.00\)"/>
      <alignment horizontal="center" vertical="bottom" textRotation="0" wrapText="0" indent="0" justifyLastLine="0" shrinkToFit="0" readingOrder="0"/>
    </dxf>
    <dxf>
      <numFmt numFmtId="11" formatCode="&quot;$&quot;#,##0.00_);\(&quot;$&quot;#,##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border outline="0">
        <top style="medium">
          <color indexed="64"/>
        </top>
      </border>
    </dxf>
    <dxf>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64"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0"/>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numFmt numFmtId="12" formatCode="&quot;$&quot;#,##0.00_);[Red]\(&quot;$&quot;#,##0.00\)"/>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9"/>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alignment horizontal="center"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0"/>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0"/>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0"/>
        <name val="Calibri"/>
        <family val="2"/>
        <scheme val="none"/>
      </font>
      <numFmt numFmtId="0" formatCode="General"/>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12" formatCode="&quot;$&quot;#,##0.00_);[Red]\(&quot;$&quot;#,##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center" textRotation="0" wrapText="0" indent="0" justifyLastLine="0" shrinkToFit="0" readingOrder="0"/>
      <protection locked="1" hidden="0"/>
    </dxf>
    <dxf>
      <alignment horizontal="center"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numFmt numFmtId="12" formatCode="&quot;$&quot;#,##0.00_);[Red]\(&quot;$&quot;#,##0.00\)"/>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outline="0">
        <top style="medium">
          <color indexed="64"/>
        </top>
      </border>
    </dxf>
    <dxf>
      <alignment vertical="center" textRotation="0" wrapText="0" indent="0" justifyLastLine="0" shrinkToFit="0" readingOrder="0"/>
    </dxf>
    <dxf>
      <alignment horizontal="center"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numFmt numFmtId="164" formatCode="&quot;$&quot;#,##0.00"/>
      <alignment vertical="center" textRotation="0" wrapText="0" indent="0" justifyLastLine="0" shrinkToFit="0" readingOrder="0"/>
    </dxf>
    <dxf>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8"/>
        <color theme="1"/>
        <name val="Calibri"/>
        <family val="2"/>
        <scheme val="minor"/>
      </font>
      <alignment horizontal="center" vertical="center" textRotation="0" wrapText="0"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164" formatCode="&quot;$&quot;#,##0.00"/>
      <alignment horizontal="general"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20</xdr:col>
      <xdr:colOff>0</xdr:colOff>
      <xdr:row>12</xdr:row>
      <xdr:rowOff>104775</xdr:rowOff>
    </xdr:from>
    <xdr:to>
      <xdr:col>20</xdr:col>
      <xdr:colOff>1285875</xdr:colOff>
      <xdr:row>14</xdr:row>
      <xdr:rowOff>0</xdr:rowOff>
    </xdr:to>
    <xdr:sp macro="" textlink="">
      <xdr:nvSpPr>
        <xdr:cNvPr id="7" name="Rectangle: Rounded Corners 6">
          <a:hlinkClick xmlns:r="http://schemas.openxmlformats.org/officeDocument/2006/relationships" r:id="rId1"/>
          <a:extLst>
            <a:ext uri="{FF2B5EF4-FFF2-40B4-BE49-F238E27FC236}">
              <a16:creationId xmlns:a16="http://schemas.microsoft.com/office/drawing/2014/main" id="{8DCBD819-B6D1-415B-B567-8F02A2B7E625}"/>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twoCellAnchor>
    <xdr:from>
      <xdr:col>1</xdr:col>
      <xdr:colOff>0</xdr:colOff>
      <xdr:row>6</xdr:row>
      <xdr:rowOff>0</xdr:rowOff>
    </xdr:from>
    <xdr:to>
      <xdr:col>20</xdr:col>
      <xdr:colOff>0</xdr:colOff>
      <xdr:row>14</xdr:row>
      <xdr:rowOff>9525</xdr:rowOff>
    </xdr:to>
    <xdr:sp macro="" textlink="">
      <xdr:nvSpPr>
        <xdr:cNvPr id="9" name="TextBox 8">
          <a:extLst>
            <a:ext uri="{FF2B5EF4-FFF2-40B4-BE49-F238E27FC236}">
              <a16:creationId xmlns:a16="http://schemas.microsoft.com/office/drawing/2014/main" id="{0DAE1D48-96EB-4AE6-903D-A56E33087FAB}"/>
            </a:ext>
          </a:extLst>
        </xdr:cNvPr>
        <xdr:cNvSpPr txBox="1"/>
      </xdr:nvSpPr>
      <xdr:spPr>
        <a:xfrm>
          <a:off x="0" y="1143000"/>
          <a:ext cx="11582400" cy="1533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Creating</a:t>
          </a:r>
          <a:r>
            <a:rPr lang="en-US" sz="1200" b="1" u="sng" baseline="0"/>
            <a:t> the </a:t>
          </a:r>
          <a:r>
            <a:rPr lang="en-US" sz="1200" b="1" u="sng"/>
            <a:t>"Return</a:t>
          </a:r>
          <a:r>
            <a:rPr lang="en-US" sz="1200" b="1" u="sng" baseline="0"/>
            <a:t> to Index" Button</a:t>
          </a:r>
        </a:p>
        <a:p>
          <a:r>
            <a:rPr lang="en-US" sz="1100" b="1" u="none" baseline="0"/>
            <a:t>1. Insert your favorite shape and customize to your heart's content.</a:t>
          </a:r>
        </a:p>
        <a:p>
          <a:r>
            <a:rPr lang="en-US" sz="1100" b="0" u="none" baseline="0"/>
            <a:t>(Hold Alt while adjusting size or position to lock edges to nearest cells, this ensures shapes will be uniform. I used it for these text boxes too!)</a:t>
          </a:r>
        </a:p>
        <a:p>
          <a:endParaRPr lang="en-US" sz="1100" b="0" u="none" baseline="0"/>
        </a:p>
        <a:p>
          <a:r>
            <a:rPr lang="en-US" sz="1100" b="1" u="none" baseline="0"/>
            <a:t>2. Right-Click the shape and select "Link" in the drop-down menu.</a:t>
          </a:r>
        </a:p>
        <a:p>
          <a:endParaRPr lang="en-US" sz="1100" b="1" u="none" baseline="0"/>
        </a:p>
        <a:p>
          <a:r>
            <a:rPr lang="en-US" sz="1100" b="1" u="none" baseline="0"/>
            <a:t>3. Select "Place in This Document" and choose your favorite sheet and cell!</a:t>
          </a:r>
          <a:endParaRPr lang="en-US" sz="1100" b="0" u="none" baseline="0"/>
        </a:p>
        <a:p>
          <a:r>
            <a:rPr lang="en-US" sz="1100" b="0" u="none" baseline="0"/>
            <a:t>(Follow these steps for creating the links to each sheet in the INDEX as well!)</a:t>
          </a:r>
          <a:endParaRPr lang="en-US" sz="1100" b="1" u="none" baseline="0"/>
        </a:p>
        <a:p>
          <a:endParaRPr lang="en-US" sz="1100" b="0" u="none" baseline="0"/>
        </a:p>
        <a:p>
          <a:endParaRPr lang="en-US" sz="1100" b="0" u="none" baseline="0"/>
        </a:p>
      </xdr:txBody>
    </xdr:sp>
    <xdr:clientData/>
  </xdr:twoCellAnchor>
  <xdr:twoCellAnchor>
    <xdr:from>
      <xdr:col>1</xdr:col>
      <xdr:colOff>0</xdr:colOff>
      <xdr:row>14</xdr:row>
      <xdr:rowOff>0</xdr:rowOff>
    </xdr:from>
    <xdr:to>
      <xdr:col>20</xdr:col>
      <xdr:colOff>0</xdr:colOff>
      <xdr:row>29</xdr:row>
      <xdr:rowOff>0</xdr:rowOff>
    </xdr:to>
    <xdr:sp macro="" textlink="">
      <xdr:nvSpPr>
        <xdr:cNvPr id="13" name="TextBox 12">
          <a:extLst>
            <a:ext uri="{FF2B5EF4-FFF2-40B4-BE49-F238E27FC236}">
              <a16:creationId xmlns:a16="http://schemas.microsoft.com/office/drawing/2014/main" id="{E4DE68C4-3B98-49F0-BA3C-7CCC12320D4B}"/>
            </a:ext>
          </a:extLst>
        </xdr:cNvPr>
        <xdr:cNvSpPr txBox="1"/>
      </xdr:nvSpPr>
      <xdr:spPr>
        <a:xfrm>
          <a:off x="1828800" y="8096250"/>
          <a:ext cx="11582400" cy="3552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Using the "VLOOKUP"</a:t>
          </a:r>
          <a:r>
            <a:rPr lang="en-US" sz="1200" b="1" u="sng" baseline="0"/>
            <a:t> Function to Autofill Airport Information</a:t>
          </a:r>
        </a:p>
        <a:p>
          <a:r>
            <a:rPr lang="en-US" sz="1100" b="1" u="none" baseline="0"/>
            <a:t>1. Set up a standardized location and format for airport data on each bid tab sheet. Each bid tab must include:</a:t>
          </a:r>
        </a:p>
        <a:p>
          <a:r>
            <a:rPr lang="en-US" sz="1100" b="1" u="none" baseline="0"/>
            <a:t>ID, City, Airport, Project Description, TAD #, Bid Date, County, and Grand Division</a:t>
          </a:r>
        </a:p>
        <a:p>
          <a:r>
            <a:rPr lang="en-US" sz="1100" b="0" u="none" baseline="0"/>
            <a:t>(I just copied last year's format!)</a:t>
          </a:r>
        </a:p>
        <a:p>
          <a:endParaRPr lang="en-US" sz="1100" b="0" u="none" baseline="0"/>
        </a:p>
        <a:p>
          <a:r>
            <a:rPr lang="en-US" sz="1100" b="1" baseline="0">
              <a:solidFill>
                <a:schemeClr val="dk1"/>
              </a:solidFill>
              <a:effectLst/>
              <a:latin typeface="+mn-lt"/>
              <a:ea typeface="+mn-ea"/>
              <a:cs typeface="+mn-cs"/>
            </a:rPr>
            <a:t>2. Reveal the hidden "DATA" sheet used to autofill airport data by right-clicking any sheet below and selecting "Unhide" from the drop-down menu. Copy "DATA" to your workbook.</a:t>
          </a:r>
          <a:endParaRPr lang="en-US">
            <a:effectLst/>
          </a:endParaRPr>
        </a:p>
        <a:p>
          <a:r>
            <a:rPr lang="en-US" sz="1100" b="0" baseline="0">
              <a:solidFill>
                <a:schemeClr val="dk1"/>
              </a:solidFill>
              <a:effectLst/>
              <a:latin typeface="+mn-lt"/>
              <a:ea typeface="+mn-ea"/>
              <a:cs typeface="+mn-cs"/>
            </a:rPr>
            <a:t>(The "DATA" sheet holds the County, City, Airport, and Grand Division associated with each Airport ID)</a:t>
          </a:r>
          <a:endParaRPr lang="en-US">
            <a:effectLst/>
          </a:endParaRPr>
        </a:p>
        <a:p>
          <a:endParaRPr lang="en-US" sz="1100" b="1" u="none" baseline="0"/>
        </a:p>
        <a:p>
          <a:r>
            <a:rPr lang="en-US" sz="1100" b="1" u="none" baseline="0"/>
            <a:t>3. Fill in a cell with the Airport ID for a given bid tab.</a:t>
          </a:r>
          <a:endParaRPr lang="en-US" sz="1100" b="0" u="none" baseline="0"/>
        </a:p>
        <a:p>
          <a:r>
            <a:rPr lang="en-US" sz="1100" b="0" u="none" baseline="0"/>
            <a:t>("VLOOKUP" will reference the ID in this cell to find the name and location of the airport given in "DATA".)</a:t>
          </a:r>
        </a:p>
        <a:p>
          <a:endParaRPr lang="en-US"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none" baseline="0"/>
            <a:t>4. Choose a cell to display the airport's city, then enter the VLOOKUP function to autofill the cell with the airport's city.</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=VLOOKUP(lookup_value, table_array, col_index_num)</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lookup_value is the cell holding the airport ID.</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table_array is the area VLOOKUP searches. (go to "DATA" and select the entire table excluding headers.)</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col_index_num is the specific column VLOOKUP searches. (for City, enter 3 because the city info in "DATA" is located in column 3.)</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5. Repeat step 4 for the Airport, County, and Grand Division!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(For each VLOOKUP, only the col_index_num should change.)</a:t>
          </a:r>
        </a:p>
        <a:p>
          <a:pPr marL="0" marR="0" lvl="0" indent="0" defTabSz="914400" eaLnBrk="1" fontAlgn="auto" latinLnBrk="0" hangingPunct="1">
            <a:lnSpc>
              <a:spcPct val="100000"/>
            </a:lnSpc>
            <a:spcBef>
              <a:spcPts val="0"/>
            </a:spcBef>
            <a:spcAft>
              <a:spcPts val="0"/>
            </a:spcAft>
            <a:buClrTx/>
            <a:buSzTx/>
            <a:buFontTx/>
            <a:buNone/>
            <a:tabLst/>
            <a:defRPr/>
          </a:pPr>
          <a:endParaRPr lang="en-US" b="1">
            <a:effectLst/>
          </a:endParaRPr>
        </a:p>
        <a:p>
          <a:endParaRPr lang="en-US" sz="1100" b="0" u="none" baseline="0"/>
        </a:p>
        <a:p>
          <a:endParaRPr lang="en-US" sz="1100" b="1" u="none" baseline="0"/>
        </a:p>
        <a:p>
          <a:endParaRPr lang="en-US" sz="1100" b="0" u="none" baseline="0"/>
        </a:p>
        <a:p>
          <a:endParaRPr lang="en-US" sz="1100" b="0" u="none" baseline="0"/>
        </a:p>
      </xdr:txBody>
    </xdr:sp>
    <xdr:clientData/>
  </xdr:twoCellAnchor>
  <xdr:twoCellAnchor>
    <xdr:from>
      <xdr:col>18</xdr:col>
      <xdr:colOff>600075</xdr:colOff>
      <xdr:row>11</xdr:row>
      <xdr:rowOff>57150</xdr:rowOff>
    </xdr:from>
    <xdr:to>
      <xdr:col>19</xdr:col>
      <xdr:colOff>514350</xdr:colOff>
      <xdr:row>12</xdr:row>
      <xdr:rowOff>152400</xdr:rowOff>
    </xdr:to>
    <xdr:cxnSp macro="">
      <xdr:nvCxnSpPr>
        <xdr:cNvPr id="16" name="Straight Arrow Connector 15">
          <a:extLst>
            <a:ext uri="{FF2B5EF4-FFF2-40B4-BE49-F238E27FC236}">
              <a16:creationId xmlns:a16="http://schemas.microsoft.com/office/drawing/2014/main" id="{1A76790E-680A-44DA-95C3-9CAF7DEDE869}"/>
            </a:ext>
          </a:extLst>
        </xdr:cNvPr>
        <xdr:cNvCxnSpPr/>
      </xdr:nvCxnSpPr>
      <xdr:spPr>
        <a:xfrm>
          <a:off x="12792075" y="7581900"/>
          <a:ext cx="523875" cy="285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485775</xdr:colOff>
      <xdr:row>14</xdr:row>
      <xdr:rowOff>28575</xdr:rowOff>
    </xdr:from>
    <xdr:to>
      <xdr:col>20</xdr:col>
      <xdr:colOff>0</xdr:colOff>
      <xdr:row>22</xdr:row>
      <xdr:rowOff>0</xdr:rowOff>
    </xdr:to>
    <xdr:sp macro="" textlink="">
      <xdr:nvSpPr>
        <xdr:cNvPr id="18" name="Left Brace 17">
          <a:extLst>
            <a:ext uri="{FF2B5EF4-FFF2-40B4-BE49-F238E27FC236}">
              <a16:creationId xmlns:a16="http://schemas.microsoft.com/office/drawing/2014/main" id="{DF5ED914-D4E4-4FA0-B206-5790ABFA1417}"/>
            </a:ext>
          </a:extLst>
        </xdr:cNvPr>
        <xdr:cNvSpPr/>
      </xdr:nvSpPr>
      <xdr:spPr>
        <a:xfrm>
          <a:off x="12677775" y="8124825"/>
          <a:ext cx="733425" cy="1571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0</xdr:colOff>
      <xdr:row>29</xdr:row>
      <xdr:rowOff>0</xdr:rowOff>
    </xdr:from>
    <xdr:to>
      <xdr:col>20</xdr:col>
      <xdr:colOff>0</xdr:colOff>
      <xdr:row>41</xdr:row>
      <xdr:rowOff>0</xdr:rowOff>
    </xdr:to>
    <xdr:sp macro="" textlink="">
      <xdr:nvSpPr>
        <xdr:cNvPr id="19" name="TextBox 18">
          <a:extLst>
            <a:ext uri="{FF2B5EF4-FFF2-40B4-BE49-F238E27FC236}">
              <a16:creationId xmlns:a16="http://schemas.microsoft.com/office/drawing/2014/main" id="{6ED2212E-A9FF-4F56-B132-6914545C6021}"/>
            </a:ext>
          </a:extLst>
        </xdr:cNvPr>
        <xdr:cNvSpPr txBox="1"/>
      </xdr:nvSpPr>
      <xdr:spPr>
        <a:xfrm>
          <a:off x="609600" y="6219825"/>
          <a:ext cx="11582400" cy="2286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baseline="0"/>
            <a:t>Potentially Useful Table Formatting Tips</a:t>
          </a:r>
        </a:p>
        <a:p>
          <a:r>
            <a:rPr lang="en-US" sz="1100" b="1" u="none"/>
            <a:t>1.</a:t>
          </a:r>
          <a:r>
            <a:rPr lang="en-US" sz="1100" b="1" u="none" baseline="0"/>
            <a:t> Insert data into a table to add sorting options and filters. Customize!</a:t>
          </a:r>
        </a:p>
        <a:p>
          <a:r>
            <a:rPr lang="en-US" sz="1100" b="0" u="none" baseline="0"/>
            <a:t>(Ensure data is easy to read. I chose this table specifically for the bold heading, light color, and high constrast between rows.)</a:t>
          </a:r>
        </a:p>
        <a:p>
          <a:endParaRPr lang="en-US" sz="1100" b="0" u="none" baseline="0"/>
        </a:p>
        <a:p>
          <a:r>
            <a:rPr lang="en-US" sz="1100" b="1" u="none" baseline="0"/>
            <a:t>2. Merge cells to create headers spanning multiple columns. Select the cells to merge, then select "Merge and Center" in the "Alignment" section under the "Home" tab.</a:t>
          </a:r>
        </a:p>
        <a:p>
          <a:endParaRPr lang="en-US" sz="1100" b="1" u="none" baseline="0"/>
        </a:p>
        <a:p>
          <a:r>
            <a:rPr lang="en-US" sz="1100" b="1" u="none" baseline="0"/>
            <a:t>3. Edit cell borders using the box icon in the "Font" section under the "Home" tab.</a:t>
          </a:r>
        </a:p>
        <a:p>
          <a:endParaRPr lang="en-US" sz="1100" b="1" u="none" baseline="0"/>
        </a:p>
        <a:p>
          <a:r>
            <a:rPr lang="en-US" sz="1100" b="1" u="none" baseline="0"/>
            <a:t>4. Adjust row height and column width for the entire sheet by selecting the arrow in the top-left corner of the worksheet and clicking "Format" in the "Cells" section under the "Home" tab.</a:t>
          </a:r>
        </a:p>
        <a:p>
          <a:r>
            <a:rPr lang="en-US" sz="1100" b="0" u="none" baseline="0"/>
            <a:t>(Adjust single rows and columns by double-clicking between them on the edges of the worksheet.)</a:t>
          </a:r>
        </a:p>
        <a:p>
          <a:endParaRPr lang="en-US" sz="1100" b="0" u="none" baseline="0"/>
        </a:p>
        <a:p>
          <a:r>
            <a:rPr lang="en-US" sz="1100" b="1" u="none" baseline="0"/>
            <a:t>5. Improve upon my design, look for ways to beat me!</a:t>
          </a:r>
        </a:p>
        <a:p>
          <a:endParaRPr lang="en-US" sz="1100" b="0" u="none"/>
        </a:p>
      </xdr:txBody>
    </xdr:sp>
    <xdr:clientData/>
  </xdr:twoCellAnchor>
  <xdr:twoCellAnchor>
    <xdr:from>
      <xdr:col>1</xdr:col>
      <xdr:colOff>0</xdr:colOff>
      <xdr:row>1</xdr:row>
      <xdr:rowOff>0</xdr:rowOff>
    </xdr:from>
    <xdr:to>
      <xdr:col>8</xdr:col>
      <xdr:colOff>0</xdr:colOff>
      <xdr:row>4</xdr:row>
      <xdr:rowOff>0</xdr:rowOff>
    </xdr:to>
    <xdr:sp macro="" textlink="">
      <xdr:nvSpPr>
        <xdr:cNvPr id="21" name="TextBox 20">
          <a:extLst>
            <a:ext uri="{FF2B5EF4-FFF2-40B4-BE49-F238E27FC236}">
              <a16:creationId xmlns:a16="http://schemas.microsoft.com/office/drawing/2014/main" id="{37D7653C-3DF5-4BFC-8AE9-6766CCC16795}"/>
            </a:ext>
          </a:extLst>
        </xdr:cNvPr>
        <xdr:cNvSpPr txBox="1"/>
      </xdr:nvSpPr>
      <xdr:spPr>
        <a:xfrm>
          <a:off x="609600" y="190500"/>
          <a:ext cx="4267200" cy="571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t>Bid</a:t>
          </a:r>
          <a:r>
            <a:rPr lang="en-US" sz="2000" b="1" baseline="0"/>
            <a:t> Tabulations Formatting Guide</a:t>
          </a:r>
          <a:endParaRPr lang="en-US" sz="20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5D61CA98-C6F9-4DF4-84FC-38E8587B9501}"/>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ADEB1E6-F6BD-4D26-AC3C-5776E77B8E13}"/>
            </a:ext>
          </a:extLst>
        </xdr:cNvPr>
        <xdr:cNvSpPr/>
      </xdr:nvSpPr>
      <xdr:spPr>
        <a:xfrm>
          <a:off x="0" y="104775"/>
          <a:ext cx="1285875" cy="263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2F47A86E-B486-4D14-83FB-BD8F8FF4253F}"/>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F3E9FF6-4558-4146-9F24-66B86DDFC060}"/>
            </a:ext>
          </a:extLst>
        </xdr:cNvPr>
        <xdr:cNvSpPr/>
      </xdr:nvSpPr>
      <xdr:spPr>
        <a:xfrm>
          <a:off x="0" y="104775"/>
          <a:ext cx="1285875" cy="263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DDAA45E-5E04-4B65-A48C-DFA6851A4976}"/>
            </a:ext>
          </a:extLst>
        </xdr:cNvPr>
        <xdr:cNvSpPr/>
      </xdr:nvSpPr>
      <xdr:spPr>
        <a:xfrm>
          <a:off x="0" y="104775"/>
          <a:ext cx="1285875" cy="263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342900</xdr:colOff>
      <xdr:row>0</xdr:row>
      <xdr:rowOff>66675</xdr:rowOff>
    </xdr:from>
    <xdr:ext cx="6629400" cy="2200275"/>
    <xdr:sp macro="" textlink="">
      <xdr:nvSpPr>
        <xdr:cNvPr id="8" name="TextBox 7">
          <a:extLst>
            <a:ext uri="{FF2B5EF4-FFF2-40B4-BE49-F238E27FC236}">
              <a16:creationId xmlns:a16="http://schemas.microsoft.com/office/drawing/2014/main" id="{9A929389-A539-4A0D-835E-40CC03A8B0D9}"/>
            </a:ext>
          </a:extLst>
        </xdr:cNvPr>
        <xdr:cNvSpPr txBox="1"/>
      </xdr:nvSpPr>
      <xdr:spPr>
        <a:xfrm>
          <a:off x="10925175" y="66675"/>
          <a:ext cx="6629400" cy="2200275"/>
        </a:xfrm>
        <a:prstGeom prst="rect">
          <a:avLst/>
        </a:prstGeom>
        <a:solidFill>
          <a:sysClr val="window" lastClr="FFFFFF"/>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sng">
              <a:solidFill>
                <a:schemeClr val="tx1"/>
              </a:solidFill>
              <a:effectLst/>
              <a:latin typeface="+mn-lt"/>
              <a:ea typeface="+mn-ea"/>
              <a:cs typeface="+mn-cs"/>
            </a:rPr>
            <a:t>Bid Tabulations Disclaimer</a:t>
          </a:r>
          <a:r>
            <a:rPr lang="en-US" sz="1100" b="0" i="0" u="none">
              <a:solidFill>
                <a:schemeClr val="tx1"/>
              </a:solidFill>
              <a:effectLst/>
              <a:latin typeface="+mn-lt"/>
              <a:ea typeface="+mn-ea"/>
              <a:cs typeface="+mn-cs"/>
            </a:rPr>
            <a:t>:</a:t>
          </a:r>
          <a:r>
            <a:rPr lang="en-US" sz="1100" b="0" i="0" u="none" baseline="0">
              <a:solidFill>
                <a:schemeClr val="tx1"/>
              </a:solidFill>
              <a:effectLst/>
              <a:latin typeface="+mn-lt"/>
              <a:ea typeface="+mn-ea"/>
              <a:cs typeface="+mn-cs"/>
            </a:rPr>
            <a:t> </a:t>
          </a:r>
          <a:r>
            <a:rPr lang="en-US" sz="1100" b="0" i="1">
              <a:solidFill>
                <a:schemeClr val="tx1"/>
              </a:solidFill>
              <a:effectLst/>
              <a:latin typeface="+mn-lt"/>
              <a:ea typeface="+mn-ea"/>
              <a:cs typeface="+mn-cs"/>
            </a:rPr>
            <a:t>These spreadsheets include Bid Tabulations for various airport improvement projects that were received within the 2022 calendar year. The Bid Tabulations were collected from airport consultants and do not represent all airport improvement projects conducted in the State during each calendar year. The Bid Tabulations shall serve as historical record only.  The Aeronautics Division makes no commitment or guarantee that estimates based on these historical prices will suffice as the Engineer’s Estimate nor result in award of any contract.  </a:t>
          </a:r>
        </a:p>
        <a:p>
          <a:endParaRPr lang="en-US" sz="1100" b="0" i="0">
            <a:solidFill>
              <a:schemeClr val="tx1"/>
            </a:solidFill>
            <a:effectLst/>
            <a:latin typeface="+mn-lt"/>
            <a:ea typeface="+mn-ea"/>
            <a:cs typeface="+mn-cs"/>
          </a:endParaRPr>
        </a:p>
        <a:p>
          <a:r>
            <a:rPr lang="en-US" sz="1100" b="0" i="1">
              <a:solidFill>
                <a:schemeClr val="tx1"/>
              </a:solidFill>
              <a:effectLst/>
              <a:latin typeface="+mn-lt"/>
              <a:ea typeface="+mn-ea"/>
              <a:cs typeface="+mn-cs"/>
            </a:rPr>
            <a:t>Unit prices are specific to each contract and can vary widely depending on various factors.  When developing an Opinion of Probable Cost for a project, it is recommended to develop cost-based estimates which include all costs for material, labor, supplies, equipment, subcontracts, overhead, markup, contract bonding, permitting, and taxes which are reasonably required to complete the work.</a:t>
          </a:r>
          <a:endParaRPr lang="en-US" sz="1100" b="0" i="0">
            <a:solidFill>
              <a:schemeClr val="tx1"/>
            </a:solidFill>
            <a:effectLst/>
            <a:latin typeface="+mn-lt"/>
            <a:ea typeface="+mn-ea"/>
            <a:cs typeface="+mn-cs"/>
          </a:endParaRPr>
        </a:p>
        <a:p>
          <a:endParaRPr lang="en-US" sz="1100"/>
        </a:p>
      </xdr:txBody>
    </xdr:sp>
    <xdr:clientData/>
  </xdr:oneCellAnchor>
  <xdr:twoCellAnchor>
    <xdr:from>
      <xdr:col>6</xdr:col>
      <xdr:colOff>0</xdr:colOff>
      <xdr:row>12</xdr:row>
      <xdr:rowOff>9524</xdr:rowOff>
    </xdr:from>
    <xdr:to>
      <xdr:col>11</xdr:col>
      <xdr:colOff>0</xdr:colOff>
      <xdr:row>15</xdr:row>
      <xdr:rowOff>0</xdr:rowOff>
    </xdr:to>
    <xdr:sp macro="" textlink="">
      <xdr:nvSpPr>
        <xdr:cNvPr id="2" name="TextBox 1">
          <a:extLst>
            <a:ext uri="{FF2B5EF4-FFF2-40B4-BE49-F238E27FC236}">
              <a16:creationId xmlns:a16="http://schemas.microsoft.com/office/drawing/2014/main" id="{B5D7DA19-6F73-46F3-9B0B-7051B00C3522}"/>
            </a:ext>
          </a:extLst>
        </xdr:cNvPr>
        <xdr:cNvSpPr txBox="1"/>
      </xdr:nvSpPr>
      <xdr:spPr>
        <a:xfrm>
          <a:off x="11315700" y="2400299"/>
          <a:ext cx="3048000" cy="56197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Right</a:t>
          </a:r>
          <a:r>
            <a:rPr lang="en-US" sz="1100" b="0" baseline="0"/>
            <a:t>-click any sheet below and u</a:t>
          </a:r>
          <a:r>
            <a:rPr lang="en-US" sz="1100" b="0"/>
            <a:t>nhide</a:t>
          </a:r>
          <a:r>
            <a:rPr lang="en-US" sz="1100" b="0" baseline="0"/>
            <a:t> "GUIDE" sheet for Bid Tabulations Formatting Guide.</a:t>
          </a:r>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8" name="Rectangle: Rounded Corners 7">
          <a:hlinkClick xmlns:r="http://schemas.openxmlformats.org/officeDocument/2006/relationships" r:id="rId1"/>
          <a:extLst>
            <a:ext uri="{FF2B5EF4-FFF2-40B4-BE49-F238E27FC236}">
              <a16:creationId xmlns:a16="http://schemas.microsoft.com/office/drawing/2014/main" id="{E343C60B-6E58-467F-8E70-FA6AD7C51AC5}"/>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2B9F83A-AF5C-4F55-959F-7DAC1413E54F}"/>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RETURN</a:t>
          </a:r>
          <a:r>
            <a:rPr lang="en-US" sz="1100" b="1" baseline="0"/>
            <a:t> TO INDEX</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D14D1AB3-210B-445C-B582-ADCBD3C0D449}"/>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EAABE83-5406-46F5-8722-6122746DFF67}"/>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EA12FA5F-7242-4F13-973A-9B1F1823D39E}"/>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6" name="Rectangle: Rounded Corners 5">
          <a:hlinkClick xmlns:r="http://schemas.openxmlformats.org/officeDocument/2006/relationships" r:id="rId1"/>
          <a:extLst>
            <a:ext uri="{FF2B5EF4-FFF2-40B4-BE49-F238E27FC236}">
              <a16:creationId xmlns:a16="http://schemas.microsoft.com/office/drawing/2014/main" id="{E319853A-6208-47DF-BCF5-8EDD9EF055A5}"/>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RETURN</a:t>
          </a:r>
          <a:r>
            <a:rPr lang="en-US" sz="1100" b="1" baseline="0"/>
            <a:t> TO INDEX</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1285875</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BAF6F0D-7A1D-445A-9EF0-1198124CBAAD}"/>
            </a:ext>
          </a:extLst>
        </xdr:cNvPr>
        <xdr:cNvSpPr/>
      </xdr:nvSpPr>
      <xdr:spPr>
        <a:xfrm>
          <a:off x="0" y="104775"/>
          <a:ext cx="12858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RETURN</a:t>
          </a:r>
          <a:r>
            <a:rPr lang="en-US" sz="1100" b="1" baseline="0"/>
            <a:t> TO INDEX</a:t>
          </a:r>
          <a:endParaRPr lang="en-US"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C578E8C-5EA4-42CE-90BF-BA4CBCE3D372}" name="Table1119" displayName="Table1119" ref="U25:AE28" totalsRowShown="0" headerRowDxfId="381" dataDxfId="380">
  <autoFilter ref="U25:AE28" xr:uid="{BC578E8C-5EA4-42CE-90BF-BA4CBCE3D372}"/>
  <tableColumns count="11">
    <tableColumn id="1" xr3:uid="{E12F343C-1C94-4025-9B86-2AAFE2718FE0}" name="ITEM NO." dataDxfId="379"/>
    <tableColumn id="2" xr3:uid="{52255B2B-3046-404C-99BD-44D9DE61FE15}" name="SPEC NO." dataDxfId="378"/>
    <tableColumn id="3" xr3:uid="{D06BE88E-731F-4500-B378-49031F707773}" name="DESCRIPTION" dataDxfId="377"/>
    <tableColumn id="4" xr3:uid="{3D7683F9-B168-4458-912B-953D8D42970F}" name="UNIT" dataDxfId="376"/>
    <tableColumn id="5" xr3:uid="{99FDE522-A2E2-4145-92D1-3C154B9287DC}" name="ESTIMATED QUANTITY" dataDxfId="375"/>
    <tableColumn id="6" xr3:uid="{4B417053-BB8D-495B-B590-D42DECE55731}" name="UNIT COST" dataDxfId="374"/>
    <tableColumn id="7" xr3:uid="{006687D4-16AF-4315-8D4E-2B4B7A795D6F}" name="EXTENDED TOTAL" dataDxfId="373"/>
    <tableColumn id="8" xr3:uid="{DB21B40A-29DA-404E-A144-9E583CD11C3C}" name="UNIT COST2" dataDxfId="372"/>
    <tableColumn id="9" xr3:uid="{2B9E7FDC-8FAA-4E04-BEC0-B8BDBB0543B3}" name="EXTENDED TOTAL2" dataDxfId="371"/>
    <tableColumn id="10" xr3:uid="{308116BC-09E4-4F5F-83A4-81E079C984C4}" name="UNIT COST3" dataDxfId="370"/>
    <tableColumn id="11" xr3:uid="{B480A85E-AF7B-4912-BF74-97B37D3D0CC7}" name="EXTENDED TOTAL3" dataDxfId="369"/>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B98C2D1-D183-408D-98BC-394FD2D1FA5B}" name="Table58" displayName="Table58" ref="A40:M50" totalsRowShown="0" headerRowDxfId="266" dataDxfId="265">
  <autoFilter ref="A40:M50" xr:uid="{FB98C2D1-D183-408D-98BC-394FD2D1FA5B}"/>
  <tableColumns count="13">
    <tableColumn id="1" xr3:uid="{5A6AA739-0E98-4D3C-B33D-33C440CC4C04}" name="ITEM NO." dataDxfId="264"/>
    <tableColumn id="2" xr3:uid="{7139B7FF-0438-439E-8436-9B4A352F1A3A}" name="SPEC NO." dataDxfId="263"/>
    <tableColumn id="3" xr3:uid="{5D5B8681-61D0-4FA2-AC80-E9D2DD1E09CB}" name="DESCRIPTION" dataDxfId="262"/>
    <tableColumn id="4" xr3:uid="{A43A64A5-D316-4210-8846-8595051E0E4F}" name="UNIT" dataDxfId="261"/>
    <tableColumn id="5" xr3:uid="{735D81CB-F682-4810-A717-FF2896E35398}" name="ESTIMATED QUANTITY" dataDxfId="260"/>
    <tableColumn id="6" xr3:uid="{00BE18D2-5827-4F26-AA50-3E931453278B}" name="UNIT COST" dataDxfId="259"/>
    <tableColumn id="7" xr3:uid="{8AAC69AE-C997-4D43-A44A-BC9BD605769F}" name="EXTENDED TOTAL" dataDxfId="258"/>
    <tableColumn id="8" xr3:uid="{5E795F48-36B8-400E-9135-B29F6F72D245}" name="UNIT COST2" dataDxfId="257"/>
    <tableColumn id="9" xr3:uid="{BEB168DF-776F-403E-8927-E39305BDCD11}" name="EXTENDED TOTAL3" dataDxfId="256"/>
    <tableColumn id="10" xr3:uid="{6D24B341-6278-4BAA-93AF-DB2F5646A901}" name="UNIT COST4" dataDxfId="255"/>
    <tableColumn id="11" xr3:uid="{541EF152-AAFD-448F-94EA-4EA1194BE3C5}" name="EXTENDED TOTAL5" dataDxfId="254"/>
    <tableColumn id="12" xr3:uid="{D689A7D5-0050-4C89-A306-3545264146F5}" name="UNIT COST6" dataDxfId="253"/>
    <tableColumn id="13" xr3:uid="{9BC9A129-43C7-44BB-991D-1B39591F0D84}" name="EXTENDED TOTAL7" dataDxfId="252"/>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4ECF6BF-B833-4C1E-B7F8-F03F2C30681B}" name="Table8" displayName="Table8" ref="A54:M87" totalsRowShown="0" headerRowDxfId="251" dataDxfId="250">
  <autoFilter ref="A54:M87" xr:uid="{B4ECF6BF-B833-4C1E-B7F8-F03F2C30681B}"/>
  <tableColumns count="13">
    <tableColumn id="1" xr3:uid="{A24CA2EC-FBA8-4383-B844-B5D9BAB2C510}" name="ITEM NO." dataDxfId="249"/>
    <tableColumn id="2" xr3:uid="{1CA2A7C7-EDED-424E-88FF-D51646D3FB36}" name="SPEC NO." dataDxfId="248"/>
    <tableColumn id="3" xr3:uid="{1852C0DC-AAD4-4CEE-81B1-E947951233E7}" name="DESCRIPTION" dataDxfId="247"/>
    <tableColumn id="4" xr3:uid="{AF74DBA7-3DD4-44A3-849E-B8426B293D87}" name="UNIT" dataDxfId="246"/>
    <tableColumn id="5" xr3:uid="{01B7A38D-736D-46B8-9A6A-F73C59974C01}" name="ESTIMATED QUANITITY" dataDxfId="245"/>
    <tableColumn id="6" xr3:uid="{7A2963B0-D655-4A8F-9B32-1FB3C4A6F151}" name="UNIT COST" dataDxfId="244"/>
    <tableColumn id="7" xr3:uid="{8647B3C4-3C44-409F-A6ED-B39C2F3FF08C}" name="EXTENDED TOTAL" dataDxfId="243"/>
    <tableColumn id="8" xr3:uid="{6AA13E7A-812E-4018-86AF-6DCA2EAF4F0A}" name="UNIT COST2" dataDxfId="242"/>
    <tableColumn id="9" xr3:uid="{58BA61D3-8889-4411-98F6-54E3A3DD9D21}" name="EXTENDED TOTAL3" dataDxfId="241"/>
    <tableColumn id="10" xr3:uid="{AD0B80C6-260D-46C5-AD46-8CF7032B6767}" name="UNIT COST4" dataDxfId="240"/>
    <tableColumn id="11" xr3:uid="{B9A196B5-BA38-4252-AB71-2781C1BC8D95}" name="EXTENDED TOTAL5" dataDxfId="239"/>
    <tableColumn id="12" xr3:uid="{528FC928-588C-4B5D-91EC-B83C3B238739}" name="UNIT COST6" dataDxfId="238"/>
    <tableColumn id="13" xr3:uid="{CB8C5AFE-FAC8-4CD1-9D8B-2567BF724E0F}" name="EXTENDED TOTAL7" dataDxfId="237"/>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75DAAA-5600-41DC-B96B-FEDB46A4F9D2}" name="Table9" displayName="Table9" ref="A91:M97" totalsRowShown="0" headerRowDxfId="236" dataDxfId="235">
  <autoFilter ref="A91:M97" xr:uid="{E975DAAA-5600-41DC-B96B-FEDB46A4F9D2}"/>
  <tableColumns count="13">
    <tableColumn id="1" xr3:uid="{84348DA0-2D5D-46EF-AE12-0606D99C6374}" name="ITEM_x000d__x000a_NO." dataDxfId="234"/>
    <tableColumn id="2" xr3:uid="{D904AC83-6261-496D-AA5E-A692A272AE31}" name="SPEC NO." dataDxfId="233"/>
    <tableColumn id="3" xr3:uid="{F9530B8C-529D-48AA-99C0-702C957A4EB3}" name="DESCRIPTION" dataDxfId="232"/>
    <tableColumn id="4" xr3:uid="{A18F8EE0-25EF-40C5-ABF4-157A0B89A34E}" name="UNIT" dataDxfId="231"/>
    <tableColumn id="5" xr3:uid="{6A8D7181-5407-4330-AB37-67728FEB9177}" name="ESTIMATED QUANTITY" dataDxfId="230"/>
    <tableColumn id="6" xr3:uid="{1C5ACEA2-9BFE-49C1-A992-DBF9C4B0CDEE}" name="UNIT COST" dataDxfId="229"/>
    <tableColumn id="7" xr3:uid="{B0CF7FCE-BE82-457E-8231-53B9404DADDD}" name="EXTENDED TOTAL" dataDxfId="228"/>
    <tableColumn id="8" xr3:uid="{E9CABA83-D54E-41D8-BA99-920938AAC3C1}" name="UNIT COST2" dataDxfId="227"/>
    <tableColumn id="9" xr3:uid="{909116DC-41CF-4C06-A7FA-EA7E47CDACB4}" name="EXTENDED TOTAL3" dataDxfId="226"/>
    <tableColumn id="10" xr3:uid="{2135EDDD-0F0A-477F-9987-E8D989FFB6A7}" name="UNIT COST4" dataDxfId="225"/>
    <tableColumn id="11" xr3:uid="{E78E2C15-1F97-4F35-AC6A-A699523CD070}" name="EXTENDED TOTAL5" dataDxfId="224"/>
    <tableColumn id="12" xr3:uid="{57291552-0B93-413F-8EC9-9665E17AC8A5}" name="UNIT COST6" dataDxfId="223"/>
    <tableColumn id="13" xr3:uid="{7B42087A-65D1-4315-B073-B4F7C2EAB097}" name="EXTENDED TOTAL7" dataDxfId="222"/>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F65FA1B-28DE-4C19-9928-2EB3711FB7F5}" name="Table11" displayName="Table11" ref="A13:K16" totalsRowShown="0" headerRowDxfId="221" dataDxfId="220" tableBorderDxfId="219">
  <autoFilter ref="A13:K16" xr:uid="{6F65FA1B-28DE-4C19-9928-2EB3711FB7F5}"/>
  <tableColumns count="11">
    <tableColumn id="1" xr3:uid="{F6EBD353-EDB7-42BB-9A22-508778C7458C}" name="ITEM NO." dataDxfId="218"/>
    <tableColumn id="2" xr3:uid="{37609C05-30CA-4949-B642-B5EEF2F09431}" name="SPEC NO." dataDxfId="217"/>
    <tableColumn id="3" xr3:uid="{7DDA3C1A-6EAB-41E9-8E55-6A4EE733564D}" name="DESCRIPTION" dataDxfId="216"/>
    <tableColumn id="4" xr3:uid="{746FEAFA-734C-49AE-B2EB-FB38CC8650FF}" name="UNIT" dataDxfId="215"/>
    <tableColumn id="5" xr3:uid="{16509A74-597E-45F9-9C4D-CE3B9DD4382D}" name="ESTIMATED QUANTITY" dataDxfId="214"/>
    <tableColumn id="6" xr3:uid="{C896F897-64E8-407C-9FE6-A127C3D70278}" name="UNIT COST" dataDxfId="213"/>
    <tableColumn id="7" xr3:uid="{92A57C8C-2D10-4EC3-B3BF-F215AB2325FC}" name="EXTENDED TOTAL" dataDxfId="212"/>
    <tableColumn id="8" xr3:uid="{8C2D2771-6A15-4F9D-958F-E0B0537675C7}" name="UNIT COST2" dataDxfId="211"/>
    <tableColumn id="9" xr3:uid="{B18C9198-1B40-47D1-9928-F4F6301A0FE6}" name="EXTENDED TOTAL2" dataDxfId="210"/>
    <tableColumn id="10" xr3:uid="{DB3AF942-07C1-418C-B52E-89BA55920B27}" name="UNIT COST3" dataDxfId="209"/>
    <tableColumn id="11" xr3:uid="{57AFFB3F-0A1A-48E5-9612-A2B0FABD7221}" name="EXTENDED TOTAL3" dataDxfId="208"/>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DF5A473-EDE5-4C0C-AF2F-9C842E9BC529}" name="Table23" displayName="Table23" ref="A14:G106" totalsRowShown="0" headerRowDxfId="207" tableBorderDxfId="206">
  <autoFilter ref="A14:G106" xr:uid="{ADF5A473-EDE5-4C0C-AF2F-9C842E9BC529}"/>
  <tableColumns count="7">
    <tableColumn id="1" xr3:uid="{3F712515-C127-4665-B1AF-CC18BEB2E6B9}" name="ITEM NO." dataDxfId="205"/>
    <tableColumn id="2" xr3:uid="{0D9B96AE-E02E-42D6-8724-F78E0968A94D}" name="SPEC NO." dataDxfId="204"/>
    <tableColumn id="3" xr3:uid="{98C6D21C-7610-4138-90F7-F698741DD680}" name="DESCRIPTION" dataDxfId="203"/>
    <tableColumn id="4" xr3:uid="{2A2E8F20-E82B-4A57-91FC-736681AC7946}" name="UNIT" dataDxfId="202"/>
    <tableColumn id="5" xr3:uid="{9C21D131-FC71-4892-AFE9-C5B11DF032D2}" name="ESTIMATED QUANTITY" dataDxfId="201"/>
    <tableColumn id="6" xr3:uid="{B50998EC-0081-443C-ADCC-91C6EEDDC29F}" name="UNIT COST" dataDxfId="200" dataCellStyle="Currency"/>
    <tableColumn id="7" xr3:uid="{B3AC64AB-6888-4D5F-984E-9F8D732872B3}" name="EXTENDED TOTAL" dataDxfId="199" dataCellStyle="Currency">
      <calculatedColumnFormula>SUM(E15*F15)</calculatedColumnFormula>
    </tableColumn>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E8B925E-6626-4EA7-A96B-3641A68AB796}" name="Table24" displayName="Table24" ref="A111:G115" totalsRowShown="0" headerRowDxfId="198" headerRowBorderDxfId="197" tableBorderDxfId="196" headerRowCellStyle="Normal 3">
  <autoFilter ref="A111:G115" xr:uid="{BE8B925E-6626-4EA7-A96B-3641A68AB796}"/>
  <tableColumns count="7">
    <tableColumn id="1" xr3:uid="{9497DDB2-70B6-4123-AA41-63EF7235812E}" name="ITEM NO." dataDxfId="195" totalsRowDxfId="194" dataCellStyle="Normal 3"/>
    <tableColumn id="2" xr3:uid="{D68EBA35-5B1C-47FC-ABEF-B0FA81DAABBE}" name="SPEC NO." dataDxfId="193" totalsRowDxfId="192" dataCellStyle="Normal 3"/>
    <tableColumn id="3" xr3:uid="{157AA500-D9D3-4799-9284-61612221E909}" name="DESCRIPTION" dataDxfId="191" totalsRowDxfId="190" dataCellStyle="Normal 3"/>
    <tableColumn id="4" xr3:uid="{0006A19C-6E7B-4A35-BA00-999A1D9C29FB}" name="UNIT" dataDxfId="189" totalsRowDxfId="188" dataCellStyle="Normal 3"/>
    <tableColumn id="5" xr3:uid="{DAB92397-8858-4F31-98E4-D1E2FBCD9662}" name="ESTIMATED QUANITY" dataDxfId="187" totalsRowDxfId="186"/>
    <tableColumn id="6" xr3:uid="{92DFA845-8F8B-43D3-944A-3083B9AA8F96}" name="UNIT COST" dataDxfId="185" totalsRowDxfId="184"/>
    <tableColumn id="7" xr3:uid="{4583D1BA-DBCE-4E0D-B0B4-61ADB57DD2B1}" name="EXTENDED TOTAL" dataDxfId="183" dataCellStyle="Currency">
      <calculatedColumnFormula>SUM(E112*F112)</calculatedColumnFormula>
    </tableColumn>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28A745E-E133-4810-A566-A05E2A6F8258}" name="Table2423" displayName="Table2423" ref="A121:G144" totalsRowShown="0" headerRowDxfId="182" headerRowBorderDxfId="181" tableBorderDxfId="180" headerRowCellStyle="Normal 3">
  <autoFilter ref="A121:G144" xr:uid="{A28A745E-E133-4810-A566-A05E2A6F8258}"/>
  <tableColumns count="7">
    <tableColumn id="1" xr3:uid="{44F04FA2-D521-4C44-B1D7-DC07E559E3EC}" name="ITEM NO." dataDxfId="179" totalsRowDxfId="178" dataCellStyle="Normal 3"/>
    <tableColumn id="2" xr3:uid="{9933971D-1FAA-4891-AA83-7B1BD8AEEEFD}" name="SPEC NO." dataDxfId="177" totalsRowDxfId="176" dataCellStyle="Normal 3"/>
    <tableColumn id="3" xr3:uid="{D56413B6-91A3-4AD4-A44D-1ADE99D8913E}" name="DESCRIPTION" dataDxfId="175" totalsRowDxfId="174" dataCellStyle="Normal 3"/>
    <tableColumn id="4" xr3:uid="{4AE06001-B20F-4C2A-9A83-D59D3B686675}" name="UNIT" dataDxfId="173" totalsRowDxfId="172" dataCellStyle="Normal 3"/>
    <tableColumn id="5" xr3:uid="{20C9F513-2AF0-4C25-A84B-304E9BB23639}" name="ESTIMATED QUANITY" dataDxfId="171"/>
    <tableColumn id="6" xr3:uid="{7D22E5ED-98EB-4ECA-A621-27C6A28019AE}" name="UNIT COST" dataDxfId="170" totalsRowDxfId="169"/>
    <tableColumn id="7" xr3:uid="{2D35A353-5D59-4B6A-9496-BAF09BA9BB37}" name="EXTENDED TOTAL" dataDxfId="168" dataCellStyle="Currency">
      <calculatedColumnFormula>SUM(E122*F122)</calculatedColumnFormula>
    </tableColumn>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FC8B5CD-F67F-4D7A-BAD6-D6F1265C7E65}" name="Table2427" displayName="Table2427" ref="A148:G151" totalsRowShown="0" headerRowDxfId="167" headerRowBorderDxfId="166" tableBorderDxfId="165" headerRowCellStyle="Normal 3">
  <autoFilter ref="A148:G151" xr:uid="{DFC8B5CD-F67F-4D7A-BAD6-D6F1265C7E65}"/>
  <tableColumns count="7">
    <tableColumn id="1" xr3:uid="{220ADBAC-4AF9-42D3-BDF9-C28B7A7FD3DE}" name="ITEM NO." dataDxfId="164" totalsRowDxfId="163" dataCellStyle="Normal 3"/>
    <tableColumn id="2" xr3:uid="{808E73A9-850C-464E-B276-226B985BE506}" name="SPEC NO." dataDxfId="162" totalsRowDxfId="161" dataCellStyle="Normal 3"/>
    <tableColumn id="3" xr3:uid="{5F62D992-DAE7-4973-81C4-274B47EA0069}" name="DESCRIPTION" dataDxfId="160" totalsRowDxfId="159" dataCellStyle="Normal 3"/>
    <tableColumn id="4" xr3:uid="{0FCEBF91-CB7C-4E3F-B8E0-00AECA7C53C0}" name="UNIT" dataDxfId="158" totalsRowDxfId="157" dataCellStyle="Normal 3"/>
    <tableColumn id="5" xr3:uid="{CDD08B7D-6958-4A1D-8E0B-363E35A10013}" name="ESTIMATED QUANITY" dataDxfId="156" totalsRowDxfId="155"/>
    <tableColumn id="6" xr3:uid="{5AC5C623-F7CE-4399-BF96-9C2D55AEBCCA}" name="UNIT COST" dataDxfId="154" totalsRowDxfId="153"/>
    <tableColumn id="7" xr3:uid="{C02F3AC2-5C01-4CC6-8532-466EDC1A7787}" name="EXTENDED TOTAL" dataDxfId="152" dataCellStyle="Currency">
      <calculatedColumnFormula>SUM(E149*F149)</calculatedColumnFormula>
    </tableColumn>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0931B51-FFC0-4AB3-898C-D96A17CADCB6}" name="Table242728" displayName="Table242728" ref="A156:G159" totalsRowShown="0" headerRowDxfId="151" headerRowBorderDxfId="150" tableBorderDxfId="149" headerRowCellStyle="Normal 3">
  <autoFilter ref="A156:G159" xr:uid="{90931B51-FFC0-4AB3-898C-D96A17CADCB6}"/>
  <tableColumns count="7">
    <tableColumn id="1" xr3:uid="{7F117BDD-5C79-4793-816A-63A228377AA3}" name="ITEM NO." dataDxfId="148" totalsRowDxfId="147" dataCellStyle="Normal 3"/>
    <tableColumn id="2" xr3:uid="{BE7D5796-C114-49CD-B17F-F458477DF7F0}" name="SPEC NO." dataDxfId="146" totalsRowDxfId="145" dataCellStyle="Normal 3"/>
    <tableColumn id="3" xr3:uid="{266F82D6-EF83-44AC-B80E-98B164BBA51A}" name="DESCRIPTION" dataDxfId="144" totalsRowDxfId="143" dataCellStyle="Normal 3"/>
    <tableColumn id="4" xr3:uid="{B522C77D-54C6-4E12-AC93-FE169CDFDB32}" name="UNIT" dataDxfId="142" totalsRowDxfId="141" dataCellStyle="Normal 3"/>
    <tableColumn id="5" xr3:uid="{26B26E8F-10CD-4DC0-9D88-04EB7D7000E9}" name="ESTIMATED QUANITY" dataDxfId="140" totalsRowDxfId="139"/>
    <tableColumn id="6" xr3:uid="{23E9A2D7-AE9B-4A6A-BE50-32D23A1604E7}" name="UNIT COST" dataDxfId="138" totalsRowDxfId="137"/>
    <tableColumn id="7" xr3:uid="{80E8AE1E-EFEC-4E70-A9E6-5D69FE4C1A9A}" name="EXTENDED TOTAL" dataDxfId="136" dataCellStyle="Currency">
      <calculatedColumnFormula>SUM(E157*F157)</calculatedColumnFormula>
    </tableColumn>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39E9898-515B-4ABD-B3BF-A1CBBE41F666}" name="Table24272829" displayName="Table24272829" ref="A164:G165" totalsRowShown="0" headerRowDxfId="135" headerRowBorderDxfId="134" tableBorderDxfId="133" headerRowCellStyle="Normal 3">
  <autoFilter ref="A164:G165" xr:uid="{A39E9898-515B-4ABD-B3BF-A1CBBE41F666}"/>
  <tableColumns count="7">
    <tableColumn id="1" xr3:uid="{3E03FEF5-9603-4D9B-87E9-81AE842B13F9}" name="ITEM NO." dataDxfId="132" totalsRowDxfId="131" dataCellStyle="Normal 3"/>
    <tableColumn id="2" xr3:uid="{5B1920C7-E647-4ED7-9DFD-85002309CC8A}" name="SPEC NO." dataDxfId="130" totalsRowDxfId="129" dataCellStyle="Normal 3"/>
    <tableColumn id="3" xr3:uid="{2F474C0C-9E41-46C4-88D7-D764DCAB9684}" name="DESCRIPTION" dataDxfId="128" totalsRowDxfId="127" dataCellStyle="Normal 3"/>
    <tableColumn id="4" xr3:uid="{CA8AFDF5-1435-41C2-827E-63E80F7E5266}" name="UNIT" dataDxfId="126" totalsRowDxfId="125" dataCellStyle="Normal 3"/>
    <tableColumn id="5" xr3:uid="{4AD31924-DFA1-41B0-B868-7C61C06C869E}" name="ESTIMATED QUANITY" dataDxfId="124" totalsRowDxfId="123"/>
    <tableColumn id="6" xr3:uid="{F3E11F5F-6595-45DD-88FE-D3BEE2FAD26C}" name="UNIT COST" dataDxfId="122" totalsRowDxfId="121"/>
    <tableColumn id="7" xr3:uid="{0856E311-53B0-43B7-A650-94076A18112C}" name="EXTENDED TOTAL" dataDxfId="120" dataCellStyle="Currency">
      <calculatedColumnFormula>SUM(E165*F165)</calculatedColumnFormula>
    </tableColumn>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DD29A05-0A56-4D1E-AAFC-28D16B67A350}" name="Table17" displayName="Table17" ref="A1:E13" totalsRowShown="0" headerRowDxfId="368">
  <autoFilter ref="A1:E13" xr:uid="{0DD29A05-0A56-4D1E-AAFC-28D16B67A350}"/>
  <tableColumns count="5">
    <tableColumn id="1" xr3:uid="{000332EE-8B1F-466D-B5A4-0E537D90C3EB}" name="ID and Link to Sheet" dataDxfId="367" dataCellStyle="Hyperlink"/>
    <tableColumn id="4" xr3:uid="{41297A2D-D86B-4FF8-B523-3698E884A8C0}" name="City" dataDxfId="366" dataCellStyle="Hyperlink"/>
    <tableColumn id="3" xr3:uid="{6D86893B-9E88-48FC-96EB-1F33DF0F8C20}" name="Airport"/>
    <tableColumn id="5" xr3:uid="{7FC147DE-2482-48A4-B84D-BCEDBFDC5132}" name="Project Description"/>
    <tableColumn id="2" xr3:uid="{BF6D9113-6236-4F8D-8969-24804E64371C}" name="TAD #"/>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0D429E-C77C-432D-8340-5824CCD323B6}" name="Page001" displayName="Page001" ref="A13:I23" totalsRowShown="0" headerRowDxfId="119" dataDxfId="118">
  <autoFilter ref="A13:I23" xr:uid="{E60D429E-C77C-432D-8340-5824CCD323B6}"/>
  <tableColumns count="9">
    <tableColumn id="1" xr3:uid="{E1471140-E736-4F52-855D-8F933671C53E}" name="ITEM NO." dataDxfId="117"/>
    <tableColumn id="2" xr3:uid="{D2E5FC23-684F-4842-9EC9-0E9D230108E7}" name="SPEC. NO." dataDxfId="116"/>
    <tableColumn id="3" xr3:uid="{12E97CD1-16FD-4456-970C-1CD249D5C229}" name="DESCRIPTION" dataDxfId="115"/>
    <tableColumn id="4" xr3:uid="{FD1DAD41-340E-49C4-8928-426822FC04CA}" name="UNIT" dataDxfId="114"/>
    <tableColumn id="5" xr3:uid="{B6B24985-FE3C-4A70-869C-4F650E449DEF}" name="ESTIMATED QUANTITY" dataDxfId="113"/>
    <tableColumn id="6" xr3:uid="{325F98F8-980C-4BF2-A94A-705A3CD58A4F}" name="UNIT COST" dataDxfId="112"/>
    <tableColumn id="7" xr3:uid="{AEE2EBA1-2491-41AD-93C5-01FB79360BED}" name="EXTENDED TOTAL" dataDxfId="111"/>
    <tableColumn id="8" xr3:uid="{65C38175-9273-4D13-A945-1BC1706D866E}" name="UNIT COST2" dataDxfId="110"/>
    <tableColumn id="9" xr3:uid="{4E397C0A-7A77-4A9E-8C63-D6AF55F98F7E}" name="EXTENDED TOTAL2" dataDxfId="109"/>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0394B8-A05F-48E7-8318-EA7AC615A375}" name="Table3" displayName="Table3" ref="A13:I60" totalsRowShown="0" headerRowDxfId="108" dataDxfId="107" tableBorderDxfId="106" dataCellStyle="Normal 2">
  <autoFilter ref="A13:I60" xr:uid="{B20394B8-A05F-48E7-8318-EA7AC615A375}"/>
  <tableColumns count="9">
    <tableColumn id="1" xr3:uid="{BA2B7272-8B79-453E-8F93-FD363E02C23E}" name="ITEM NO." dataDxfId="105" dataCellStyle="Normal 2"/>
    <tableColumn id="2" xr3:uid="{BB4C1B24-4558-47E9-9772-C82061C8057D}" name="SPEC NO." dataDxfId="104" dataCellStyle="Normal 2"/>
    <tableColumn id="3" xr3:uid="{84B51CA4-D0F0-4890-903F-0028A4C57814}" name="DESCRIPTION" dataDxfId="103" dataCellStyle="Normal 2"/>
    <tableColumn id="4" xr3:uid="{45837C53-8FE8-4777-82D8-FA9AD79BC470}" name="UNIT" dataDxfId="102" dataCellStyle="Normal 2"/>
    <tableColumn id="5" xr3:uid="{84F3824E-E240-4B07-AFD2-0054EEBEA06E}" name="ESTIMATED QUANTITY" dataDxfId="101" dataCellStyle="Normal 2"/>
    <tableColumn id="6" xr3:uid="{67402F3C-73E6-44C1-91B1-27FBFE191D8F}" name="UNIT COST" dataDxfId="100" dataCellStyle="Normal 2"/>
    <tableColumn id="7" xr3:uid="{021EBB09-0DD8-41B2-8FF1-C0367A41DEB8}" name="EXTENDED TOTAL" dataDxfId="99" dataCellStyle="Normal 2"/>
    <tableColumn id="8" xr3:uid="{FA360351-4971-4C90-9560-A6668257454B}" name="UNIT COST2" dataDxfId="98" dataCellStyle="Normal 2"/>
    <tableColumn id="9" xr3:uid="{AA8AD7C8-0930-4E3F-90E4-155DF23017F5}" name="EXTENDED TOTAL3" dataDxfId="97" dataCellStyle="Normal 2"/>
  </tableColumns>
  <tableStyleInfo name="TableStyleMedium3"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85DE8B-B619-4746-BD9A-D6967BAE9B8C}" name="Table4" displayName="Table4" ref="A64:I79" totalsRowShown="0" headerRowDxfId="96" dataDxfId="95" tableBorderDxfId="94" headerRowCellStyle="Normal 2" dataCellStyle="Normal 2">
  <autoFilter ref="A64:I79" xr:uid="{6585DE8B-B619-4746-BD9A-D6967BAE9B8C}"/>
  <tableColumns count="9">
    <tableColumn id="1" xr3:uid="{4A8549AA-EFCD-40ED-BD90-73CDBF4ACB7D}" name="ITEM NO." dataDxfId="93" dataCellStyle="Normal 2"/>
    <tableColumn id="2" xr3:uid="{65613EAD-A938-413A-84DA-D235A826F99F}" name="SPEC NO." dataDxfId="92" dataCellStyle="Normal 2"/>
    <tableColumn id="3" xr3:uid="{43614237-97CD-4C70-8819-662F890A6867}" name="DESCRIPTION" dataDxfId="91" dataCellStyle="Normal 2"/>
    <tableColumn id="4" xr3:uid="{F6D04A3F-264C-4237-9C63-4C2BBC94E8EA}" name="UNIT" dataDxfId="90" dataCellStyle="Normal 2"/>
    <tableColumn id="5" xr3:uid="{48D274C7-0564-4763-BCA8-820E5D788875}" name="ESTIMATED QUANTITY" dataDxfId="89" dataCellStyle="Normal 2"/>
    <tableColumn id="6" xr3:uid="{A11B0D46-9241-4AD9-B3CD-CF44792BC669}" name="UNIT COST" dataDxfId="88" dataCellStyle="Normal 2"/>
    <tableColumn id="7" xr3:uid="{76B7639E-2FCA-4D91-811B-87474F023B78}" name="EXTENDED TOTAL" dataDxfId="87" dataCellStyle="Normal 2"/>
    <tableColumn id="8" xr3:uid="{59D7B800-DACD-4D47-84E4-5CC545B2F383}" name="UNIT COST2" dataDxfId="86" dataCellStyle="Normal 2"/>
    <tableColumn id="9" xr3:uid="{AC321558-B8AE-46E9-B4AC-746222707960}" name="EXTENDED TOTAL3" dataDxfId="85" dataCellStyle="Normal 2"/>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381A8CD-B669-4047-85C5-4AC5E73CB5FD}" name="Table5" displayName="Table5" ref="A83:I102" totalsRowShown="0" headerRowDxfId="84" dataDxfId="83" tableBorderDxfId="82" headerRowCellStyle="Normal 2" dataCellStyle="Normal 2">
  <autoFilter ref="A83:I102" xr:uid="{6381A8CD-B669-4047-85C5-4AC5E73CB5FD}"/>
  <tableColumns count="9">
    <tableColumn id="1" xr3:uid="{45E65428-06A6-440B-86B9-170742650242}" name="ITEM NO." dataDxfId="81" dataCellStyle="Normal 2"/>
    <tableColumn id="2" xr3:uid="{97332D05-80FC-4A47-B2E3-9A57E2113E98}" name="SPEC NO." dataDxfId="80" dataCellStyle="Normal 2"/>
    <tableColumn id="3" xr3:uid="{24AAD16C-91C9-4B7F-8443-76B4A3DF30B1}" name="DESCRIPTION" dataDxfId="79" dataCellStyle="Normal 2"/>
    <tableColumn id="4" xr3:uid="{0EA272CC-2C55-4192-8948-F788CF6D5F52}" name="UNIT" dataDxfId="78" dataCellStyle="Normal 2"/>
    <tableColumn id="5" xr3:uid="{ACB3A075-2E5A-4DA1-80B5-20A0FD0A3EE8}" name="ESTIMATED QUANTITY" dataDxfId="77" dataCellStyle="Normal 2"/>
    <tableColumn id="6" xr3:uid="{072E67C0-92FE-4429-9B52-71A861806E04}" name="UNIT COST" dataDxfId="76" dataCellStyle="Normal 2"/>
    <tableColumn id="7" xr3:uid="{A393A26D-D7AE-4537-9291-9D7644FA3C3A}" name="EXTENDED TOTAL" dataDxfId="75" dataCellStyle="Normal 2"/>
    <tableColumn id="8" xr3:uid="{346C98BA-3405-4D7B-91F4-CB7D0ED93ACA}" name="UNIT COST2" dataDxfId="74" dataCellStyle="Normal 2"/>
    <tableColumn id="9" xr3:uid="{D2FE1642-C3B1-40E9-AA88-4712C5EEB4E0}" name="EXTENDED TOTAL3" dataDxfId="73" dataCellStyle="Normal 2"/>
  </tableColumns>
  <tableStyleInfo name="TableStyleMedium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3593B479-88EA-43ED-A968-BEC18C7336A2}" name="Table1036" displayName="Table1036" ref="A14:K40" totalsRowShown="0" headerRowDxfId="72" tableBorderDxfId="71" headerRowCellStyle="Normal 3">
  <autoFilter ref="A14:K40" xr:uid="{1C275F62-2B62-4431-9D14-3D19476131D0}"/>
  <tableColumns count="11">
    <tableColumn id="1" xr3:uid="{2118DBD9-536F-42C3-A8A1-43A8B14C5525}" name="ITEM NO." dataDxfId="70" dataCellStyle="Normal 3"/>
    <tableColumn id="2" xr3:uid="{2F12C0FA-DB81-424C-AE42-A791EBA8CB09}" name="SPEC NO." dataDxfId="69" dataCellStyle="Normal 3"/>
    <tableColumn id="3" xr3:uid="{34B92A8E-890A-451A-B176-D77CA6CD7F16}" name="DESCRIPTION" dataDxfId="68" dataCellStyle="Normal 3"/>
    <tableColumn id="5" xr3:uid="{B0018AC7-30B3-400D-B82F-B675A6F85AB8}" name="UNIT" dataDxfId="67" dataCellStyle="Normal 3"/>
    <tableColumn id="23" xr3:uid="{6E369056-5039-40A2-8365-FDBD50AB6485}" name="ESTIMATED QUANTITY" dataDxfId="66" dataCellStyle="Normal 3"/>
    <tableColumn id="8" xr3:uid="{726A56F4-4B31-4EB9-B8C7-F7027C7C90E2}" name="UNIT COST" dataDxfId="65" dataCellStyle="Normal 3"/>
    <tableColumn id="12" xr3:uid="{4CFDC8A2-46F9-4756-B039-D50E96A7B65B}" name="EXTENDED TOTAL" dataDxfId="64" dataCellStyle="Normal 3">
      <calculatedColumnFormula>SUM(E15*F15)</calculatedColumnFormula>
    </tableColumn>
    <tableColumn id="14" xr3:uid="{BEF0A99B-08B7-4BB2-8D96-93F839787157}" name="UNIT COST2" dataDxfId="63" dataCellStyle="Normal 3"/>
    <tableColumn id="17" xr3:uid="{FFEAAAC9-4F0A-47B9-9ED9-5416C93A6FF9}" name="EXTENDED TOTAL2" dataDxfId="62" dataCellStyle="Normal 3">
      <calculatedColumnFormula>SUM(E15*H15)</calculatedColumnFormula>
    </tableColumn>
    <tableColumn id="19" xr3:uid="{DBCA7386-B5F7-4CCE-B70A-7D2691DFB914}" name="UNIT COST3" dataDxfId="61" dataCellStyle="Normal 3"/>
    <tableColumn id="22" xr3:uid="{8D639707-D3BC-4ED0-86AF-037E6A79FC56}" name="EXTENDED TOTAL3" dataDxfId="60" dataCellStyle="Normal 3">
      <calculatedColumnFormula>SUM(E15*J15)</calculatedColumnFormula>
    </tableColumn>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C275F62-2B62-4431-9D14-3D19476131D0}" name="Table10" displayName="Table10" ref="A14:K44" totalsRowShown="0" headerRowDxfId="59" tableBorderDxfId="58" headerRowCellStyle="Normal 3">
  <autoFilter ref="A14:K44" xr:uid="{1C275F62-2B62-4431-9D14-3D19476131D0}"/>
  <tableColumns count="11">
    <tableColumn id="1" xr3:uid="{5F6EF0D6-C30D-4B48-B8E6-7A06F8B63EE9}" name="ITEM NO." dataDxfId="57" dataCellStyle="Normal 3"/>
    <tableColumn id="2" xr3:uid="{32E1C22E-BD79-4722-9E86-3C794FADA9DC}" name="SPEC NO." dataDxfId="56" dataCellStyle="Normal 3"/>
    <tableColumn id="3" xr3:uid="{A588BCCB-FCC1-43C0-AC6D-3586B3FA4E9F}" name="DESCRIPTION" dataDxfId="55" dataCellStyle="Normal 3"/>
    <tableColumn id="5" xr3:uid="{330DD5AB-66D5-4D32-B2A2-A0AC425B1345}" name="UNIT" dataDxfId="54" dataCellStyle="Normal 3"/>
    <tableColumn id="23" xr3:uid="{1220826E-1ABD-40A5-8158-F64239A321ED}" name="ESTIMATED QUANTITY" dataDxfId="53" dataCellStyle="Normal 3"/>
    <tableColumn id="8" xr3:uid="{064C7705-26B7-4A22-A429-F1898C093C26}" name="UNIT COST" dataDxfId="52" dataCellStyle="Normal 3"/>
    <tableColumn id="12" xr3:uid="{FCBAE1BC-6356-47AE-91D4-7F1AFC059CB7}" name="EXTENDED TOTAL" dataDxfId="51" dataCellStyle="Normal 3"/>
    <tableColumn id="14" xr3:uid="{8878DED3-EA86-4A24-B5CB-61C1654145FB}" name="UNIT COST2" dataDxfId="50" dataCellStyle="Normal 3"/>
    <tableColumn id="17" xr3:uid="{AF3DF206-2666-4BBB-AC55-5EDC8D7B7954}" name="EXTENDED TOTAL2" dataDxfId="49" dataCellStyle="Normal 3"/>
    <tableColumn id="19" xr3:uid="{4FE6654F-2CA1-4234-B7D0-985C9880EF16}" name="UNIT COST3" dataDxfId="48" dataCellStyle="Normal 3"/>
    <tableColumn id="22" xr3:uid="{6817282A-994A-4FA8-8D4B-5603C4F98DB9}" name="EXTENDED TOTAL3" dataDxfId="47" dataCellStyle="Normal 3"/>
  </tableColumns>
  <tableStyleInfo name="TableStyleMedium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8838A8D-CE3B-49E9-B141-ED2743F2A24B}" name="Table19" displayName="Table19" ref="A48:K60" totalsRowShown="0" headerRowDxfId="46" tableBorderDxfId="45">
  <autoFilter ref="A48:K60" xr:uid="{18838A8D-CE3B-49E9-B141-ED2743F2A24B}"/>
  <tableColumns count="11">
    <tableColumn id="1" xr3:uid="{C424EBB3-00D9-4842-9DB8-3D4B9E7CF155}" name="ITEM NO." dataDxfId="44" dataCellStyle="Normal 3"/>
    <tableColumn id="2" xr3:uid="{E46CFE8A-D267-4338-AF4A-92B92648FA6A}" name="SPEC NO." dataDxfId="43" dataCellStyle="Normal 3"/>
    <tableColumn id="3" xr3:uid="{E83A3003-B50C-4FC8-969E-9C2A782DE76B}" name="DESCRIPTION" dataDxfId="42" dataCellStyle="Normal 3"/>
    <tableColumn id="5" xr3:uid="{F93276E8-B706-476D-B57A-2C1F43AC81C5}" name="UNIT" dataDxfId="41" dataCellStyle="Normal 3"/>
    <tableColumn id="23" xr3:uid="{E71C1FBF-C779-41CC-AEDA-326DF02DFE41}" name="ESTIMATED QUANTITY" dataDxfId="40" dataCellStyle="Normal 3"/>
    <tableColumn id="8" xr3:uid="{A6CC2C3A-B2F0-4107-9564-ED496EC8EE4D}" name="UNIT COST" dataDxfId="39" dataCellStyle="Normal 3"/>
    <tableColumn id="12" xr3:uid="{3B640055-1CEF-4131-8897-9B21624435F3}" name="EXTENDED TOTAL" dataDxfId="38" dataCellStyle="Normal 3"/>
    <tableColumn id="14" xr3:uid="{BF3E9214-736D-467F-AD0B-F3BA010B077B}" name="UNIT COST2" dataDxfId="37" dataCellStyle="Normal 3"/>
    <tableColumn id="17" xr3:uid="{34573798-B320-4762-BFAE-BF548B31E455}" name="EXTENDED TOTAL2" dataDxfId="36" dataCellStyle="Normal 3"/>
    <tableColumn id="19" xr3:uid="{6062A225-12EB-4EC6-82DD-ABA9849DD27F}" name="UNIT COST3" dataDxfId="35" dataCellStyle="Normal 3"/>
    <tableColumn id="22" xr3:uid="{19C3F25F-6BDE-451C-93C3-63FD3FAF54D4}" name="EXTENDED TOTAL3" dataDxfId="34" dataCellStyle="Normal 3"/>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1F5ED35-55FC-4FC5-81DE-891C3C7B3F7F}" name="Table20" displayName="Table20" ref="A68:I76" totalsRowShown="0" headerRowDxfId="33" tableBorderDxfId="32" headerRowCellStyle="Normal 3">
  <autoFilter ref="A68:I76" xr:uid="{B1F5ED35-55FC-4FC5-81DE-891C3C7B3F7F}"/>
  <tableColumns count="9">
    <tableColumn id="1" xr3:uid="{5E025EE1-36CB-426F-A8FB-AF59FCBEBAB8}" name="ITEM NO." dataDxfId="31" dataCellStyle="Normal 3"/>
    <tableColumn id="2" xr3:uid="{8CD19FDB-B47D-4809-929B-7C36005F4534}" name="SPEC NO." dataDxfId="30" dataCellStyle="Normal 3"/>
    <tableColumn id="4" xr3:uid="{7FBBEC47-53CB-4A62-8CA4-CFF9BDBFF2E6}" name="DESCRIPTION" dataDxfId="29" dataCellStyle="Normal 3"/>
    <tableColumn id="5" xr3:uid="{54D2A112-5CE2-48F7-83C5-C696CD2A036E}" name="UNIT" dataDxfId="28" dataCellStyle="Normal 3"/>
    <tableColumn id="6" xr3:uid="{990D7156-A132-4570-BBB9-4D31A7B23A11}" name="ESTIMATED QUANTITY" dataDxfId="27" dataCellStyle="Normal 3"/>
    <tableColumn id="11" xr3:uid="{1B3AAE9E-FA64-4FEA-98E4-932DE47C0660}" name="UNIT COST" dataDxfId="26" dataCellStyle="Normal 3"/>
    <tableColumn id="15" xr3:uid="{914F3143-D1B7-4D66-92F6-EC04E1C4F316}" name="EXTENDED TOTAL" dataDxfId="25" dataCellStyle="Normal 3"/>
    <tableColumn id="18" xr3:uid="{BB665267-578A-4441-B0F7-A93EA899C24D}" name="UNIT COST2" dataDxfId="24" dataCellStyle="Normal 3"/>
    <tableColumn id="21" xr3:uid="{E0DBD021-7461-40F6-8B6E-811E70A52CBC}" name="EXTENDED TOTAL2" dataDxfId="23" dataCellStyle="Normal 3"/>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DB52CDC-37DD-4DDC-BEDD-20FFB2137E59}" name="Table103622" displayName="Table103622" ref="A14:I32" totalsRowShown="0" headerRowDxfId="22" tableBorderDxfId="21" headerRowCellStyle="Normal 3">
  <autoFilter ref="A14:I32" xr:uid="{1C275F62-2B62-4431-9D14-3D19476131D0}"/>
  <tableColumns count="9">
    <tableColumn id="1" xr3:uid="{748EB70A-8B36-4FC0-A640-FF30BB0DF58B}" name="ITEM NO." dataDxfId="20" dataCellStyle="Normal 3"/>
    <tableColumn id="2" xr3:uid="{C5F3E497-B55F-4D89-9549-9DCF34AC2891}" name="SPEC NO." dataDxfId="19" dataCellStyle="Normal 3"/>
    <tableColumn id="3" xr3:uid="{85621359-1198-4C51-97E9-028F5105C368}" name="DESCRIPTION" dataDxfId="18" dataCellStyle="Normal 3"/>
    <tableColumn id="5" xr3:uid="{83F41EA0-7E02-426F-838C-1739626EBFB3}" name="UNIT" dataDxfId="17" dataCellStyle="Normal 3"/>
    <tableColumn id="23" xr3:uid="{4B0D818A-8E0D-4C44-ABA2-A5AABD0F2A36}" name="ESTIMATED QUANTITY" dataDxfId="16" dataCellStyle="Normal 3"/>
    <tableColumn id="8" xr3:uid="{665750C0-7A86-4797-BB2E-69AAC6D8E7D9}" name="UNIT COST" dataDxfId="15" dataCellStyle="Normal 3"/>
    <tableColumn id="12" xr3:uid="{7E62C351-137B-47F9-8889-8E92385AB22F}" name="EXTENDED TOTAL" dataDxfId="14" dataCellStyle="Normal 3">
      <calculatedColumnFormula>SUM(E15*F15)</calculatedColumnFormula>
    </tableColumn>
    <tableColumn id="14" xr3:uid="{5F4E5380-6E66-4102-8EBE-9BA1CC8007EF}" name="UNIT COST2" dataDxfId="12" dataCellStyle="Normal 3"/>
    <tableColumn id="17" xr3:uid="{0FEB2DD2-5B57-4A48-A39B-0C661FC1119E}" name="EXTENDED TOTAL2" dataDxfId="13" dataCellStyle="Normal 3">
      <calculatedColumnFormula>SUM(E15*H15)</calculatedColumnFormula>
    </tableColumn>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A965F80-4834-4EBD-9DC3-1CD2141BA67C}" name="Table10362226" displayName="Table10362226" ref="A14:I35" totalsRowShown="0" headerRowDxfId="11" dataDxfId="1" tableBorderDxfId="10" headerRowCellStyle="Normal 3">
  <autoFilter ref="A14:I35" xr:uid="{1C275F62-2B62-4431-9D14-3D19476131D0}"/>
  <tableColumns count="9">
    <tableColumn id="1" xr3:uid="{7D46C0B8-AC09-4669-A85A-91695C5B5B18}" name="ITEM NO." dataDxfId="9" dataCellStyle="Normal 3"/>
    <tableColumn id="3" xr3:uid="{FCA29928-7F4D-4142-90E2-5C70DD6E263D}" name="DESCRIPTION" dataDxfId="8" dataCellStyle="Normal 3"/>
    <tableColumn id="5" xr3:uid="{12C08465-CE8C-47B8-970A-6AF5A51DE530}" name="UNIT" dataDxfId="7" dataCellStyle="Normal 3"/>
    <tableColumn id="23" xr3:uid="{DF2791A4-5FFC-4734-A5F3-E4B16EC71E32}" name="ESTIMATED QUANTITY" dataDxfId="6" dataCellStyle="Normal 3"/>
    <tableColumn id="8" xr3:uid="{6F56616A-1496-4009-AF68-4D4551E4D3CA}" name="UNIT COST" dataDxfId="5" dataCellStyle="Normal 3"/>
    <tableColumn id="12" xr3:uid="{C2CCC21B-FB4B-44E6-8028-C7E222B5EB58}" name="EXTENDED TOTAL" dataDxfId="4" dataCellStyle="Normal 3"/>
    <tableColumn id="14" xr3:uid="{46374D24-E8BD-497E-AB43-176995B1EFA2}" name="UNIT COST2" dataDxfId="3" dataCellStyle="Normal 3"/>
    <tableColumn id="17" xr3:uid="{CF21BCC0-1629-4849-9EE6-C018005B8D03}" name="EXTENDED TOTAL2" dataDxfId="2" dataCellStyle="Normal 3"/>
    <tableColumn id="4" xr3:uid="{C9A02AF4-427C-4CF3-8481-4AFEF0817FCA}" name="Total Price" dataDxfId="0" dataCellStyle="Normal 3"/>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48FC9D-D49E-46C1-AF30-3173AED9AB8E}" name="Table001__Page_2_3" displayName="Table001__Page_2_3" ref="A13:M63" totalsRowShown="0" headerRowDxfId="365" dataDxfId="364">
  <autoFilter ref="A13:M63" xr:uid="{A848FC9D-D49E-46C1-AF30-3173AED9AB8E}"/>
  <sortState xmlns:xlrd2="http://schemas.microsoft.com/office/spreadsheetml/2017/richdata2" ref="A14:M63">
    <sortCondition ref="A13:A63"/>
  </sortState>
  <tableColumns count="13">
    <tableColumn id="1" xr3:uid="{9F374C72-D138-4DFC-886F-7EEE5D87A647}" name="ITEM NO." dataDxfId="363"/>
    <tableColumn id="2" xr3:uid="{A4304F5D-186C-435C-8980-F9C6B582871A}" name="SPEC. NO." dataDxfId="362"/>
    <tableColumn id="3" xr3:uid="{6A2A90DB-E9AF-4F40-BEC2-E3A2D4B534A7}" name="DESCRIPTION" dataDxfId="361"/>
    <tableColumn id="4" xr3:uid="{C6A691FE-D776-4D28-A28C-028F497CF344}" name="UNIT" dataDxfId="360"/>
    <tableColumn id="5" xr3:uid="{FC9B26F7-B62C-41F8-A868-8618D123FE9A}" name="ESTIMATED QUANTITY" dataDxfId="359"/>
    <tableColumn id="6" xr3:uid="{D3E1BEB3-8852-467D-9167-66F8995E1C13}" name="UNIT COST" dataDxfId="358"/>
    <tableColumn id="7" xr3:uid="{5257461F-C0A3-42D7-8221-8C43C747F20A}" name="EXTENDED TOTAL" dataDxfId="357"/>
    <tableColumn id="8" xr3:uid="{E66BF97F-F716-47D9-B72B-D41E0301E0FF}" name="UNIT COST2" dataDxfId="356"/>
    <tableColumn id="9" xr3:uid="{113ACA8A-7D56-4BB2-B156-4AB76674DF64}" name="EXTENDED TOTAL2" dataDxfId="355"/>
    <tableColumn id="10" xr3:uid="{2174D197-8787-462C-8622-93104CF8011B}" name="UNIT COST3" dataDxfId="354"/>
    <tableColumn id="11" xr3:uid="{E4CFD763-1799-4281-B805-9FB1B0BC7CFC}" name="EXTENDED TOTAL3" dataDxfId="353"/>
    <tableColumn id="12" xr3:uid="{C6D1A529-7DC2-45E9-8AD8-F4ABEA74B289}" name="UNIT COST4" dataDxfId="352"/>
    <tableColumn id="13" xr3:uid="{315828F6-E39D-4741-A245-067133F8BC2A}" name="EXTENDED TOTAL4" dataDxfId="351"/>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B88DD3-4686-4E66-8187-A8960E0AAC0F}" name="Table15" displayName="Table15" ref="A15:O50" totalsRowShown="0" headerRowDxfId="350" dataDxfId="349" tableBorderDxfId="348">
  <autoFilter ref="A15:O50" xr:uid="{8FB88DD3-4686-4E66-8187-A8960E0AAC0F}"/>
  <tableColumns count="15">
    <tableColumn id="1" xr3:uid="{74FC4CD2-5B03-4E84-AF8B-9F89CD39A0E9}" name="ITEM NO." dataDxfId="347"/>
    <tableColumn id="2" xr3:uid="{65E41B40-0305-4CC5-91FE-ADBEB7FDF614}" name="SPEC NO." dataDxfId="346"/>
    <tableColumn id="3" xr3:uid="{5AC13997-C562-4F59-85FE-D2D3F45642F5}" name="DESCRIPTION" dataDxfId="345"/>
    <tableColumn id="4" xr3:uid="{AF4F6E33-CECE-4D33-9973-8F5D874F9104}" name="UNIT" dataDxfId="344"/>
    <tableColumn id="5" xr3:uid="{3187C564-59A2-4354-A5DB-E8924F2C8B70}" name="ESTIMATED QUANTITY" dataDxfId="343"/>
    <tableColumn id="6" xr3:uid="{2ABB1983-A647-46AF-A6C8-E62DBC4961F2}" name="UNIT COST" dataDxfId="342"/>
    <tableColumn id="7" xr3:uid="{9974312E-4990-4169-9573-9396FD083E21}" name="EXTENDED TOTAL" dataDxfId="341"/>
    <tableColumn id="8" xr3:uid="{ABD4BD59-3BD7-4324-98A4-3F608E6498BB}" name="UNIT COST2" dataDxfId="340"/>
    <tableColumn id="9" xr3:uid="{96C30225-CBF9-4A75-917A-9D3E55C2BBCF}" name="EXTENDED TOTAL3" dataDxfId="339"/>
    <tableColumn id="10" xr3:uid="{5163C174-B76B-43A0-9952-6430E4D7E624}" name="UNIT COST4" dataDxfId="338"/>
    <tableColumn id="11" xr3:uid="{D0323A3F-4F4A-4BD5-9432-45B45E862558}" name="EXTENDED TOTAL5" dataDxfId="337"/>
    <tableColumn id="12" xr3:uid="{A7A7DC20-285D-49A9-A3C8-A82E5B151A93}" name="UNIT COST6" dataDxfId="336"/>
    <tableColumn id="13" xr3:uid="{EB0A253E-F48E-45E2-B649-BC800E5578F5}" name="EXTENDED TOTAL7" dataDxfId="335"/>
    <tableColumn id="14" xr3:uid="{0CA47454-4D6F-4540-99FA-00BDA39B4297}" name="UNIT COST " dataDxfId="334"/>
    <tableColumn id="15" xr3:uid="{7BDED612-73D2-48AC-8F55-BB188E078A9C}" name="EXTENDED TOTAL8" dataDxfId="333"/>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36705A0-B46E-42FE-8AEC-A5DA59ECBB68}" name="Table16" displayName="Table16" ref="A54:O78" totalsRowShown="0" headerRowDxfId="332" dataDxfId="331">
  <autoFilter ref="A54:O78" xr:uid="{336705A0-B46E-42FE-8AEC-A5DA59ECBB68}"/>
  <tableColumns count="15">
    <tableColumn id="1" xr3:uid="{9A9F974D-28F0-46D6-9B86-E0865CCC2880}" name="ITEM NO." dataDxfId="330"/>
    <tableColumn id="2" xr3:uid="{705CC961-B62C-402E-91A5-0A5E438A509F}" name="SPEC NO." dataDxfId="329"/>
    <tableColumn id="3" xr3:uid="{CC21A3B2-6AE7-43B4-9813-FDFBB41DFD26}" name="DESCRIPTION" dataDxfId="328"/>
    <tableColumn id="4" xr3:uid="{D77B31DB-57A1-40DF-A0DA-98D7FD307181}" name="UNIT" dataDxfId="327"/>
    <tableColumn id="5" xr3:uid="{B3500A48-4872-4F58-AF66-9F96ED602449}" name="ESTIMATED QUANTITY" dataDxfId="326"/>
    <tableColumn id="6" xr3:uid="{CEC59CBF-BB49-4435-A769-59E3DA49328E}" name="UNIT COST" dataDxfId="325"/>
    <tableColumn id="7" xr3:uid="{F185BD22-BE1F-4825-80B2-C3DB4AC5F8AD}" name="EXTENDED TOTAL" dataDxfId="324"/>
    <tableColumn id="8" xr3:uid="{995C4E79-08D4-41A2-B865-B81A9C98EC7E}" name="UNIT COST2" dataDxfId="323"/>
    <tableColumn id="9" xr3:uid="{665DA6C7-C20B-487E-9173-9EB56D8D8722}" name="EXTENDED TOTAL3" dataDxfId="322"/>
    <tableColumn id="10" xr3:uid="{546A3A68-C5A4-4572-839A-FE06CB459242}" name="UNIT COST4" dataDxfId="321"/>
    <tableColumn id="11" xr3:uid="{BFF3C13D-AE23-4A76-8569-23AD4CF2D282}" name="EXTENDED TOTAL5" dataDxfId="320"/>
    <tableColumn id="12" xr3:uid="{3C126E01-C536-46D2-B86B-81407D7922F5}" name="UNIT COST6" dataDxfId="319"/>
    <tableColumn id="13" xr3:uid="{93BE6A7D-204F-4160-B024-9C76F0E6DEEB}" name="EXTENDED TOTAL7" dataDxfId="318"/>
    <tableColumn id="14" xr3:uid="{F2E82BCD-E70C-4DA8-AEFA-3C7DA99854A1}" name="UNIT COST " dataDxfId="317"/>
    <tableColumn id="15" xr3:uid="{1830F57C-6ECE-47A4-82CE-E362419068A0}" name="EXTENDED TOTAL8" dataDxfId="316"/>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4EEA46B-49FA-430C-9562-A42554385954}" name="Table12" displayName="Table12" ref="A13:I62" totalsRowShown="0" headerRowDxfId="315" dataDxfId="314" tableBorderDxfId="313">
  <autoFilter ref="A13:I62" xr:uid="{C4EEA46B-49FA-430C-9562-A42554385954}"/>
  <tableColumns count="9">
    <tableColumn id="1" xr3:uid="{6177719E-2B1C-4747-82B9-E20EE3A7552C}" name="ITEM NO." dataDxfId="312"/>
    <tableColumn id="2" xr3:uid="{6C3290F3-6A32-4916-AE4B-10D5154B3389}" name="SPEC NO." dataDxfId="311"/>
    <tableColumn id="3" xr3:uid="{4D23ED3F-961D-4331-912A-9A64EEE682B2}" name="DESCRIPTION" dataDxfId="310"/>
    <tableColumn id="4" xr3:uid="{C9411F0A-E7EB-4F66-BA92-9B209D98137E}" name="UNIT" dataDxfId="309"/>
    <tableColumn id="5" xr3:uid="{581B40A9-8266-4DD0-B829-77C729C4365B}" name="ESTIMATED QUANTITY" dataDxfId="308"/>
    <tableColumn id="6" xr3:uid="{57298BBB-5303-4B79-ADED-63F19B8FC721}" name="UNIT COST" dataDxfId="307"/>
    <tableColumn id="7" xr3:uid="{3BACDCE8-EB12-4C51-B303-245DBA6812D2}" name="EXTENDED TOTAL" dataDxfId="306"/>
    <tableColumn id="8" xr3:uid="{A7AF5399-44D6-48D1-A9D8-A62811F84870}" name="UNIT COST2" dataDxfId="305"/>
    <tableColumn id="9" xr3:uid="{BD5074A6-1E5F-4E89-8D6F-063674B1C38B}" name="EXTENDED TOTAL2" dataDxfId="304"/>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2473EFB-1CB8-4EEC-9876-E5B9B2B16478}" name="Table13" displayName="Table13" ref="A66:I85" totalsRowShown="0" headerRowDxfId="303" dataDxfId="302">
  <autoFilter ref="A66:I85" xr:uid="{12473EFB-1CB8-4EEC-9876-E5B9B2B16478}"/>
  <tableColumns count="9">
    <tableColumn id="1" xr3:uid="{432E630C-F4CF-4B28-89C6-84580A4D8EB8}" name="ITEM NO." dataDxfId="301"/>
    <tableColumn id="2" xr3:uid="{7E18834D-4509-4F24-AE03-88C96A29D3D4}" name="SPEC NO." dataDxfId="300"/>
    <tableColumn id="3" xr3:uid="{90716E5F-7EB4-4CF6-9DC6-11AFF3EE5559}" name="DESCRIPTION" dataDxfId="299"/>
    <tableColumn id="4" xr3:uid="{78BD371F-9AB0-4422-975C-F540AC4CFD22}" name="UNIT" dataDxfId="298"/>
    <tableColumn id="5" xr3:uid="{881BF7DB-5190-4AFF-AB83-C4C37010E0BD}" name="ESTIMATED QUANTITY" dataDxfId="297"/>
    <tableColumn id="6" xr3:uid="{7482BA26-A0A3-4AF1-9A1D-3D83694F2273}" name="UNIT COST" dataDxfId="296"/>
    <tableColumn id="7" xr3:uid="{29040FE2-0B1C-4331-A3E9-B138E950B8C3}" name="EXTENDED TOTAL" dataDxfId="295"/>
    <tableColumn id="8" xr3:uid="{1A8541B6-8A89-459E-BAB7-667702C7F891}" name="UNIT COST2" dataDxfId="294"/>
    <tableColumn id="9" xr3:uid="{11785484-3A53-4160-A506-1F72DAC82B91}" name="EXTENDED TOTAL3" dataDxfId="293"/>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E59C956-6871-4E66-8F49-15D992889C83}" name="Table14" displayName="Table14" ref="A89:I92" totalsRowShown="0" headerRowDxfId="292" dataDxfId="291">
  <autoFilter ref="A89:I92" xr:uid="{3E59C956-6871-4E66-8F49-15D992889C83}"/>
  <tableColumns count="9">
    <tableColumn id="1" xr3:uid="{1DB0F3D8-85D8-4DCA-BFA3-5DD18D88417C}" name="ITEM NO." dataDxfId="290"/>
    <tableColumn id="2" xr3:uid="{37CB7938-7E48-401E-8B10-284F239A2C4F}" name="SPEC NO." dataDxfId="289"/>
    <tableColumn id="3" xr3:uid="{DEB63FEE-E5FA-4A44-8CA7-DF8B5D54A007}" name="DESCRIPTION" dataDxfId="288"/>
    <tableColumn id="4" xr3:uid="{E1BDE065-C592-47A6-B6E6-132E8E69BDD4}" name="UNIT" dataDxfId="287"/>
    <tableColumn id="5" xr3:uid="{A0937E75-3460-401E-97AF-E6D08F9BEE98}" name="ESTIMATED QUANTITY" dataDxfId="286"/>
    <tableColumn id="6" xr3:uid="{BAF0083E-8DDD-4A74-B72F-4348CD3E5D69}" name="UNIT COST" dataDxfId="285"/>
    <tableColumn id="7" xr3:uid="{BA45D8E1-C9DD-4695-B57F-B604C0FD958F}" name="EXTENDED TOTAL" dataDxfId="284"/>
    <tableColumn id="8" xr3:uid="{BE9D1D32-E76D-4BCF-8ABF-76037003D138}" name="UNIT COST2" dataDxfId="283"/>
    <tableColumn id="9" xr3:uid="{F9424D86-0324-4AC8-917A-D0EAC32963A1}" name="EXTENDED TOTAL3" dataDxfId="282"/>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BDE10F8-F1C9-4985-B9BC-EC5F6A4FE124}" name="Table37" displayName="Table37" ref="A13:M36" totalsRowShown="0" headerRowDxfId="281" dataDxfId="280">
  <autoFilter ref="A13:M36" xr:uid="{3BDE10F8-F1C9-4985-B9BC-EC5F6A4FE124}"/>
  <tableColumns count="13">
    <tableColumn id="1" xr3:uid="{95B1E8D9-1198-42B1-B65D-491C56799E27}" name="ITEM NO." dataDxfId="279"/>
    <tableColumn id="2" xr3:uid="{1EF951F0-02CD-4675-A3DD-25EED7048155}" name="SPEC NO." dataDxfId="278"/>
    <tableColumn id="3" xr3:uid="{372C79EE-9D82-4A45-9E61-C3077F18C01D}" name="DESCRIPTION" dataDxfId="277"/>
    <tableColumn id="4" xr3:uid="{3E51B2DB-4A75-424E-8D25-FAF381C16468}" name="UNIT" dataDxfId="276"/>
    <tableColumn id="5" xr3:uid="{A2DAD210-A201-4AE0-A0BC-F98A65207E0E}" name="ESTIMATED QUANTITY" dataDxfId="275"/>
    <tableColumn id="6" xr3:uid="{C097EF06-D941-44B2-B80B-8A3C970ADA8E}" name="UNIT COST" dataDxfId="274"/>
    <tableColumn id="7" xr3:uid="{3E5E6F33-E5B6-44F1-994B-894BC342EA20}" name="EXTENDED TOTAL" dataDxfId="273"/>
    <tableColumn id="8" xr3:uid="{AA0A1DF0-76C6-49E7-AA87-2D0F13A16CA5}" name="UNIT COST2" dataDxfId="272"/>
    <tableColumn id="9" xr3:uid="{A332A2C7-7FE0-4050-A9E6-59E7B26F3FA6}" name="EXTENDED TOTAL2" dataDxfId="271"/>
    <tableColumn id="10" xr3:uid="{63C252B2-9751-40C2-95E5-D591DE90C80B}" name="UNIT COST3" dataDxfId="270"/>
    <tableColumn id="11" xr3:uid="{3F1CD414-A32D-496B-9A65-4FFD716F18E5}" name="EXTENDED TOTAL3" dataDxfId="269"/>
    <tableColumn id="12" xr3:uid="{1BE7A304-6B8A-4BE9-9EC0-71FED945575F}" name="UNIT COST4" dataDxfId="268"/>
    <tableColumn id="13" xr3:uid="{7FF9E3B8-77B6-42B8-95FE-A622FCA5ED30}" name="EXTENDED TOTAL4" dataDxfId="267"/>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table" Target="../tables/table27.xml"/><Relationship Id="rId4" Type="http://schemas.openxmlformats.org/officeDocument/2006/relationships/table" Target="../tables/table26.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59C32-DD22-498B-835D-D002DDA1FEF0}">
  <dimension ref="U15:AE29"/>
  <sheetViews>
    <sheetView zoomScaleNormal="100" workbookViewId="0">
      <selection activeCell="V11" sqref="V11"/>
    </sheetView>
  </sheetViews>
  <sheetFormatPr defaultRowHeight="14.5" x14ac:dyDescent="0.35"/>
  <cols>
    <col min="21" max="21" width="20.81640625" bestFit="1" customWidth="1"/>
    <col min="22" max="22" width="32.26953125" bestFit="1" customWidth="1"/>
    <col min="23" max="23" width="43.81640625" customWidth="1"/>
    <col min="24" max="24" width="10" bestFit="1" customWidth="1"/>
    <col min="25" max="25" width="15.54296875" customWidth="1"/>
    <col min="26" max="26" width="15" bestFit="1" customWidth="1"/>
    <col min="27" max="27" width="14.7265625" bestFit="1" customWidth="1"/>
    <col min="28" max="28" width="17.1796875" customWidth="1"/>
    <col min="29" max="29" width="14.7265625" bestFit="1" customWidth="1"/>
    <col min="30" max="30" width="16" bestFit="1" customWidth="1"/>
    <col min="31" max="31" width="14.7265625" bestFit="1" customWidth="1"/>
  </cols>
  <sheetData>
    <row r="15" spans="21:22" ht="15.5" x14ac:dyDescent="0.35">
      <c r="U15" s="2" t="s">
        <v>65</v>
      </c>
      <c r="V15" t="s">
        <v>170</v>
      </c>
    </row>
    <row r="16" spans="21:22" ht="15.5" x14ac:dyDescent="0.35">
      <c r="U16" s="2" t="s">
        <v>67</v>
      </c>
      <c r="V16" t="str">
        <f>VLOOKUP(V15,DATA!$A$2:$E$80,3)</f>
        <v>Crossville</v>
      </c>
    </row>
    <row r="17" spans="21:31" ht="15.5" x14ac:dyDescent="0.35">
      <c r="U17" s="2" t="s">
        <v>69</v>
      </c>
      <c r="V17" t="str">
        <f>VLOOKUP(V15,DATA!$A$2:$E$80,4)</f>
        <v>Crossville Memorial-Whitson Field</v>
      </c>
    </row>
    <row r="18" spans="21:31" ht="15.5" x14ac:dyDescent="0.35">
      <c r="U18" s="2" t="s">
        <v>70</v>
      </c>
      <c r="V18" t="s">
        <v>171</v>
      </c>
    </row>
    <row r="19" spans="21:31" ht="15.5" x14ac:dyDescent="0.35">
      <c r="U19" s="2" t="s">
        <v>71</v>
      </c>
      <c r="V19" t="s">
        <v>261</v>
      </c>
    </row>
    <row r="20" spans="21:31" ht="15.5" x14ac:dyDescent="0.35">
      <c r="U20" s="2" t="s">
        <v>72</v>
      </c>
      <c r="V20" s="3">
        <v>44637</v>
      </c>
    </row>
    <row r="21" spans="21:31" ht="15.5" x14ac:dyDescent="0.35">
      <c r="U21" s="2" t="s">
        <v>66</v>
      </c>
      <c r="V21" t="str">
        <f>VLOOKUP(V15,DATA!$A$2:$E$80,2)</f>
        <v>Cumberland</v>
      </c>
    </row>
    <row r="22" spans="21:31" ht="15.5" x14ac:dyDescent="0.35">
      <c r="U22" s="2" t="s">
        <v>68</v>
      </c>
      <c r="V22" t="str">
        <f>VLOOKUP(V15,DATA!$A$2:$E$80,5)</f>
        <v>East</v>
      </c>
    </row>
    <row r="23" spans="21:31" ht="15" thickBot="1" x14ac:dyDescent="0.4"/>
    <row r="24" spans="21:31" ht="16" thickBot="1" x14ac:dyDescent="0.4">
      <c r="U24" s="234" t="s">
        <v>176</v>
      </c>
      <c r="V24" s="235"/>
      <c r="W24" s="235"/>
      <c r="X24" s="235"/>
      <c r="Y24" s="236"/>
      <c r="Z24" s="234" t="s">
        <v>75</v>
      </c>
      <c r="AA24" s="236"/>
      <c r="AB24" s="234" t="s">
        <v>174</v>
      </c>
      <c r="AC24" s="236"/>
      <c r="AD24" s="234" t="s">
        <v>175</v>
      </c>
      <c r="AE24" s="236"/>
    </row>
    <row r="25" spans="21:31" ht="29" x14ac:dyDescent="0.35">
      <c r="U25" s="12" t="s">
        <v>62</v>
      </c>
      <c r="V25" s="12" t="s">
        <v>98</v>
      </c>
      <c r="W25" s="12" t="s">
        <v>0</v>
      </c>
      <c r="X25" s="12" t="s">
        <v>1</v>
      </c>
      <c r="Y25" s="12" t="s">
        <v>64</v>
      </c>
      <c r="Z25" s="12" t="s">
        <v>262</v>
      </c>
      <c r="AA25" s="12" t="s">
        <v>94</v>
      </c>
      <c r="AB25" s="12" t="s">
        <v>355</v>
      </c>
      <c r="AC25" s="12" t="s">
        <v>95</v>
      </c>
      <c r="AD25" s="12" t="s">
        <v>458</v>
      </c>
      <c r="AE25" s="12" t="s">
        <v>357</v>
      </c>
    </row>
    <row r="26" spans="21:31" x14ac:dyDescent="0.35">
      <c r="U26" s="12">
        <v>1</v>
      </c>
      <c r="V26" s="12" t="s">
        <v>28</v>
      </c>
      <c r="W26" s="7" t="s">
        <v>102</v>
      </c>
      <c r="X26" s="12" t="s">
        <v>3</v>
      </c>
      <c r="Y26" s="16">
        <v>1</v>
      </c>
      <c r="Z26" s="14">
        <v>15000</v>
      </c>
      <c r="AA26" s="14">
        <v>15000</v>
      </c>
      <c r="AB26" s="14">
        <v>13200</v>
      </c>
      <c r="AC26" s="14">
        <v>13200</v>
      </c>
      <c r="AD26" s="14">
        <v>11000</v>
      </c>
      <c r="AE26" s="14">
        <v>11000</v>
      </c>
    </row>
    <row r="27" spans="21:31" x14ac:dyDescent="0.35">
      <c r="U27" s="12">
        <v>2</v>
      </c>
      <c r="V27" s="12" t="s">
        <v>172</v>
      </c>
      <c r="W27" s="7" t="s">
        <v>173</v>
      </c>
      <c r="X27" s="12" t="s">
        <v>3</v>
      </c>
      <c r="Y27" s="16">
        <v>1</v>
      </c>
      <c r="Z27" s="14">
        <v>5000</v>
      </c>
      <c r="AA27" s="14">
        <v>5000</v>
      </c>
      <c r="AB27" s="14">
        <v>7690</v>
      </c>
      <c r="AC27" s="14">
        <v>7690</v>
      </c>
      <c r="AD27" s="14">
        <v>8000</v>
      </c>
      <c r="AE27" s="14">
        <v>8000</v>
      </c>
    </row>
    <row r="28" spans="21:31" ht="29.5" thickBot="1" x14ac:dyDescent="0.4">
      <c r="U28" s="12">
        <v>3</v>
      </c>
      <c r="V28" s="12" t="s">
        <v>42</v>
      </c>
      <c r="W28" s="7" t="s">
        <v>177</v>
      </c>
      <c r="X28" s="12" t="s">
        <v>3</v>
      </c>
      <c r="Y28" s="16">
        <v>1</v>
      </c>
      <c r="Z28" s="14">
        <v>115000</v>
      </c>
      <c r="AA28" s="14">
        <v>115000</v>
      </c>
      <c r="AB28" s="14">
        <v>68715</v>
      </c>
      <c r="AC28" s="14">
        <v>68715</v>
      </c>
      <c r="AD28" s="14">
        <v>108025</v>
      </c>
      <c r="AE28" s="14">
        <v>108025</v>
      </c>
    </row>
    <row r="29" spans="21:31" ht="16" thickBot="1" x14ac:dyDescent="0.4">
      <c r="U29" s="7"/>
      <c r="V29" s="7"/>
      <c r="W29" s="6"/>
      <c r="X29" s="7"/>
      <c r="Y29" s="34" t="s">
        <v>61</v>
      </c>
      <c r="Z29" s="28"/>
      <c r="AA29" s="28">
        <v>135000</v>
      </c>
      <c r="AB29" s="28"/>
      <c r="AC29" s="28">
        <v>89605</v>
      </c>
      <c r="AD29" s="28"/>
      <c r="AE29" s="29">
        <v>127025</v>
      </c>
    </row>
  </sheetData>
  <mergeCells count="4">
    <mergeCell ref="U24:Y24"/>
    <mergeCell ref="Z24:AA24"/>
    <mergeCell ref="AB24:AC24"/>
    <mergeCell ref="AD24:AE24"/>
  </mergeCells>
  <pageMargins left="0.7" right="0.7" top="0.75" bottom="0.75" header="0.3" footer="0.3"/>
  <drawing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7DBB-523C-41F6-87A3-E40E7AA3C82C}">
  <dimension ref="A1:I37"/>
  <sheetViews>
    <sheetView zoomScale="60" zoomScaleNormal="60" workbookViewId="0"/>
  </sheetViews>
  <sheetFormatPr defaultRowHeight="14.5" x14ac:dyDescent="0.35"/>
  <cols>
    <col min="1" max="1" width="20.81640625" bestFit="1" customWidth="1"/>
    <col min="2" max="2" width="21" bestFit="1" customWidth="1"/>
    <col min="3" max="3" width="31.26953125" bestFit="1" customWidth="1"/>
    <col min="4" max="4" width="10" bestFit="1" customWidth="1"/>
    <col min="5" max="5" width="25.54296875" bestFit="1" customWidth="1"/>
    <col min="6" max="6" width="15" bestFit="1" customWidth="1"/>
    <col min="7" max="7" width="20.81640625" bestFit="1" customWidth="1"/>
    <col min="8" max="8" width="21.81640625" customWidth="1"/>
    <col min="9" max="9" width="23.453125" customWidth="1"/>
  </cols>
  <sheetData>
    <row r="1" spans="1:9" x14ac:dyDescent="0.35">
      <c r="A1" s="43"/>
      <c r="B1" s="43"/>
      <c r="C1" s="43"/>
      <c r="D1" s="43"/>
      <c r="E1" s="43"/>
      <c r="F1" s="43"/>
      <c r="G1" s="43"/>
      <c r="H1" s="43"/>
      <c r="I1" s="43"/>
    </row>
    <row r="2" spans="1:9" x14ac:dyDescent="0.35">
      <c r="A2" s="43"/>
      <c r="B2" s="43"/>
      <c r="C2" s="43"/>
      <c r="D2" s="43"/>
      <c r="E2" s="43"/>
      <c r="F2" s="43"/>
      <c r="G2" s="43"/>
      <c r="H2" s="43"/>
      <c r="I2" s="43"/>
    </row>
    <row r="3" spans="1:9" ht="15.5" x14ac:dyDescent="0.35">
      <c r="A3" s="50" t="s">
        <v>65</v>
      </c>
      <c r="B3" s="43" t="s">
        <v>91</v>
      </c>
      <c r="C3" s="50"/>
      <c r="D3" s="43"/>
      <c r="E3" s="43"/>
      <c r="F3" s="43"/>
      <c r="G3" s="43"/>
      <c r="H3" s="43"/>
      <c r="I3" s="43"/>
    </row>
    <row r="4" spans="1:9" ht="15.5" x14ac:dyDescent="0.35">
      <c r="A4" s="50" t="s">
        <v>67</v>
      </c>
      <c r="B4" s="43" t="str">
        <f>VLOOKUP(B3,DATA!$A$2:$E$80,3)</f>
        <v>Fayetteville</v>
      </c>
      <c r="C4" s="50"/>
      <c r="D4" s="43"/>
      <c r="E4" s="43"/>
      <c r="F4" s="43"/>
      <c r="G4" s="43"/>
      <c r="H4" s="43"/>
      <c r="I4" s="43"/>
    </row>
    <row r="5" spans="1:9" ht="15.5" x14ac:dyDescent="0.35">
      <c r="A5" s="50" t="s">
        <v>69</v>
      </c>
      <c r="B5" s="43" t="str">
        <f>VLOOKUP(B3,DATA!$A$2:$E$80,4)</f>
        <v>Fayetteville Municipal</v>
      </c>
      <c r="C5" s="50"/>
      <c r="D5" s="43"/>
      <c r="E5" s="43"/>
      <c r="F5" s="43"/>
      <c r="G5" s="43"/>
      <c r="H5" s="43"/>
      <c r="I5" s="43"/>
    </row>
    <row r="6" spans="1:9" ht="15.5" x14ac:dyDescent="0.35">
      <c r="A6" s="50" t="s">
        <v>70</v>
      </c>
      <c r="B6" s="43" t="s">
        <v>92</v>
      </c>
      <c r="C6" s="50"/>
      <c r="D6" s="43"/>
      <c r="E6" s="43"/>
      <c r="F6" s="43"/>
      <c r="G6" s="43"/>
      <c r="H6" s="43"/>
      <c r="I6" s="43"/>
    </row>
    <row r="7" spans="1:9" ht="15.5" x14ac:dyDescent="0.35">
      <c r="A7" s="50" t="s">
        <v>71</v>
      </c>
      <c r="B7" s="43" t="s">
        <v>93</v>
      </c>
      <c r="C7" s="50"/>
      <c r="D7" s="43"/>
      <c r="E7" s="43"/>
      <c r="F7" s="43"/>
      <c r="G7" s="43"/>
      <c r="H7" s="43"/>
      <c r="I7" s="43"/>
    </row>
    <row r="8" spans="1:9" ht="15.5" x14ac:dyDescent="0.35">
      <c r="A8" s="50" t="s">
        <v>72</v>
      </c>
      <c r="B8" s="51">
        <v>44628</v>
      </c>
      <c r="C8" s="50"/>
      <c r="D8" s="51"/>
      <c r="E8" s="43"/>
      <c r="F8" s="43"/>
      <c r="G8" s="43"/>
      <c r="H8" s="43"/>
      <c r="I8" s="43"/>
    </row>
    <row r="9" spans="1:9" ht="15.5" x14ac:dyDescent="0.35">
      <c r="A9" s="50" t="s">
        <v>66</v>
      </c>
      <c r="B9" s="43" t="str">
        <f>VLOOKUP(B3,DATA!$A$2:$E$80,2)</f>
        <v>Lincoln</v>
      </c>
      <c r="C9" s="50"/>
      <c r="D9" s="43"/>
      <c r="E9" s="43"/>
      <c r="F9" s="43"/>
      <c r="G9" s="43"/>
      <c r="H9" s="43"/>
      <c r="I9" s="43"/>
    </row>
    <row r="10" spans="1:9" ht="15.5" x14ac:dyDescent="0.35">
      <c r="A10" s="50" t="s">
        <v>68</v>
      </c>
      <c r="B10" s="43" t="str">
        <f>VLOOKUP(B3,DATA!$A$2:$E$80,5)</f>
        <v>Middle</v>
      </c>
      <c r="C10" s="50"/>
      <c r="D10" s="43"/>
      <c r="E10" s="43"/>
      <c r="F10" s="43"/>
      <c r="G10" s="43"/>
      <c r="H10" s="43"/>
      <c r="I10" s="43"/>
    </row>
    <row r="11" spans="1:9" ht="16" thickBot="1" x14ac:dyDescent="0.4">
      <c r="A11" s="50"/>
      <c r="B11" s="43"/>
      <c r="C11" s="43"/>
      <c r="D11" s="43"/>
      <c r="E11" s="43"/>
      <c r="F11" s="43"/>
      <c r="G11" s="43"/>
      <c r="H11" s="43"/>
      <c r="I11" s="43"/>
    </row>
    <row r="12" spans="1:9" ht="16" thickBot="1" x14ac:dyDescent="0.4">
      <c r="A12" s="237" t="s">
        <v>168</v>
      </c>
      <c r="B12" s="239"/>
      <c r="C12" s="239"/>
      <c r="D12" s="239"/>
      <c r="E12" s="238"/>
      <c r="F12" s="237" t="s">
        <v>75</v>
      </c>
      <c r="G12" s="238"/>
      <c r="H12" s="237" t="s">
        <v>169</v>
      </c>
      <c r="I12" s="238"/>
    </row>
    <row r="13" spans="1:9" x14ac:dyDescent="0.35">
      <c r="A13" s="57" t="s">
        <v>62</v>
      </c>
      <c r="B13" s="57" t="s">
        <v>63</v>
      </c>
      <c r="C13" s="57" t="s">
        <v>0</v>
      </c>
      <c r="D13" s="57" t="s">
        <v>1</v>
      </c>
      <c r="E13" s="57" t="s">
        <v>64</v>
      </c>
      <c r="F13" s="57" t="s">
        <v>262</v>
      </c>
      <c r="G13" s="57" t="s">
        <v>94</v>
      </c>
      <c r="H13" s="57" t="s">
        <v>355</v>
      </c>
      <c r="I13" s="57" t="s">
        <v>95</v>
      </c>
    </row>
    <row r="14" spans="1:9" x14ac:dyDescent="0.35">
      <c r="A14" s="77">
        <v>1</v>
      </c>
      <c r="B14" s="77" t="s">
        <v>80</v>
      </c>
      <c r="C14" s="78" t="s">
        <v>102</v>
      </c>
      <c r="D14" s="77" t="s">
        <v>3</v>
      </c>
      <c r="E14" s="77">
        <v>1</v>
      </c>
      <c r="F14" s="58">
        <v>15000</v>
      </c>
      <c r="G14" s="58">
        <v>15000</v>
      </c>
      <c r="H14" s="58">
        <v>10000</v>
      </c>
      <c r="I14" s="58">
        <v>10000</v>
      </c>
    </row>
    <row r="15" spans="1:9" x14ac:dyDescent="0.35">
      <c r="A15" s="77">
        <v>2</v>
      </c>
      <c r="B15" s="77" t="s">
        <v>81</v>
      </c>
      <c r="C15" s="78" t="s">
        <v>223</v>
      </c>
      <c r="D15" s="77" t="s">
        <v>21</v>
      </c>
      <c r="E15" s="77">
        <v>3400</v>
      </c>
      <c r="F15" s="58">
        <v>2.5</v>
      </c>
      <c r="G15" s="58">
        <v>8500</v>
      </c>
      <c r="H15" s="58">
        <v>5</v>
      </c>
      <c r="I15" s="58">
        <v>17000</v>
      </c>
    </row>
    <row r="16" spans="1:9" x14ac:dyDescent="0.35">
      <c r="A16" s="77">
        <v>3</v>
      </c>
      <c r="B16" s="77" t="s">
        <v>82</v>
      </c>
      <c r="C16" s="78" t="s">
        <v>224</v>
      </c>
      <c r="D16" s="77" t="s">
        <v>83</v>
      </c>
      <c r="E16" s="77">
        <v>10</v>
      </c>
      <c r="F16" s="58">
        <v>5000</v>
      </c>
      <c r="G16" s="58">
        <v>50000</v>
      </c>
      <c r="H16" s="58">
        <v>4500</v>
      </c>
      <c r="I16" s="58">
        <v>45000</v>
      </c>
    </row>
    <row r="17" spans="1:9" x14ac:dyDescent="0.35">
      <c r="A17" s="77">
        <v>4</v>
      </c>
      <c r="B17" s="77" t="s">
        <v>84</v>
      </c>
      <c r="C17" s="78" t="s">
        <v>225</v>
      </c>
      <c r="D17" s="77" t="s">
        <v>83</v>
      </c>
      <c r="E17" s="77">
        <v>3.5</v>
      </c>
      <c r="F17" s="58">
        <v>3800</v>
      </c>
      <c r="G17" s="58">
        <v>13300</v>
      </c>
      <c r="H17" s="58">
        <v>8571</v>
      </c>
      <c r="I17" s="58">
        <v>29998.5</v>
      </c>
    </row>
    <row r="18" spans="1:9" x14ac:dyDescent="0.35">
      <c r="A18" s="77">
        <v>5</v>
      </c>
      <c r="B18" s="77" t="s">
        <v>85</v>
      </c>
      <c r="C18" s="78" t="s">
        <v>226</v>
      </c>
      <c r="D18" s="77" t="s">
        <v>83</v>
      </c>
      <c r="E18" s="77">
        <v>3.5</v>
      </c>
      <c r="F18" s="58">
        <v>3800</v>
      </c>
      <c r="G18" s="58">
        <v>13300</v>
      </c>
      <c r="H18" s="58">
        <v>5120</v>
      </c>
      <c r="I18" s="58">
        <v>17920</v>
      </c>
    </row>
    <row r="19" spans="1:9" x14ac:dyDescent="0.35">
      <c r="A19" s="77">
        <v>6</v>
      </c>
      <c r="B19" s="77" t="s">
        <v>86</v>
      </c>
      <c r="C19" s="78" t="s">
        <v>227</v>
      </c>
      <c r="D19" s="77" t="s">
        <v>21</v>
      </c>
      <c r="E19" s="77">
        <v>8600</v>
      </c>
      <c r="F19" s="58">
        <v>2</v>
      </c>
      <c r="G19" s="58">
        <v>17200</v>
      </c>
      <c r="H19" s="58">
        <v>2.21</v>
      </c>
      <c r="I19" s="58">
        <v>19006</v>
      </c>
    </row>
    <row r="20" spans="1:9" x14ac:dyDescent="0.35">
      <c r="A20" s="77">
        <v>7</v>
      </c>
      <c r="B20" s="77" t="s">
        <v>87</v>
      </c>
      <c r="C20" s="78" t="s">
        <v>228</v>
      </c>
      <c r="D20" s="77" t="s">
        <v>3</v>
      </c>
      <c r="E20" s="77">
        <v>1</v>
      </c>
      <c r="F20" s="58">
        <v>2000</v>
      </c>
      <c r="G20" s="58">
        <v>2000</v>
      </c>
      <c r="H20" s="58">
        <v>10000</v>
      </c>
      <c r="I20" s="58">
        <v>10000</v>
      </c>
    </row>
    <row r="21" spans="1:9" x14ac:dyDescent="0.35">
      <c r="A21" s="77">
        <v>8</v>
      </c>
      <c r="B21" s="77" t="s">
        <v>88</v>
      </c>
      <c r="C21" s="78" t="s">
        <v>229</v>
      </c>
      <c r="D21" s="77" t="s">
        <v>3</v>
      </c>
      <c r="E21" s="77">
        <v>1</v>
      </c>
      <c r="F21" s="58">
        <v>10000</v>
      </c>
      <c r="G21" s="58">
        <v>10000</v>
      </c>
      <c r="H21" s="58">
        <v>10000</v>
      </c>
      <c r="I21" s="58">
        <v>10000</v>
      </c>
    </row>
    <row r="22" spans="1:9" x14ac:dyDescent="0.35">
      <c r="A22" s="77">
        <v>9</v>
      </c>
      <c r="B22" s="77" t="s">
        <v>89</v>
      </c>
      <c r="C22" s="78" t="s">
        <v>230</v>
      </c>
      <c r="D22" s="77" t="s">
        <v>83</v>
      </c>
      <c r="E22" s="77">
        <v>19</v>
      </c>
      <c r="F22" s="58">
        <v>2800</v>
      </c>
      <c r="G22" s="58">
        <v>53200</v>
      </c>
      <c r="H22" s="58">
        <v>500</v>
      </c>
      <c r="I22" s="58">
        <v>9500</v>
      </c>
    </row>
    <row r="23" spans="1:9" ht="15" thickBot="1" x14ac:dyDescent="0.4">
      <c r="A23" s="77">
        <v>10</v>
      </c>
      <c r="B23" s="77" t="s">
        <v>90</v>
      </c>
      <c r="C23" s="78" t="s">
        <v>231</v>
      </c>
      <c r="D23" s="77" t="s">
        <v>3</v>
      </c>
      <c r="E23" s="77">
        <v>1</v>
      </c>
      <c r="F23" s="58">
        <v>5000</v>
      </c>
      <c r="G23" s="58">
        <v>5000</v>
      </c>
      <c r="H23" s="58">
        <v>10000</v>
      </c>
      <c r="I23" s="58">
        <v>10000</v>
      </c>
    </row>
    <row r="24" spans="1:9" ht="16" thickBot="1" x14ac:dyDescent="0.4">
      <c r="A24" s="78"/>
      <c r="B24" s="78"/>
      <c r="C24" s="78"/>
      <c r="D24" s="43"/>
      <c r="E24" s="80" t="s">
        <v>61</v>
      </c>
      <c r="F24" s="81"/>
      <c r="G24" s="62">
        <f>SUM(Page001[EXTENDED TOTAL])</f>
        <v>187500</v>
      </c>
      <c r="H24" s="81"/>
      <c r="I24" s="82">
        <f>SUM(Page001[EXTENDED TOTAL2])</f>
        <v>178424.5</v>
      </c>
    </row>
    <row r="25" spans="1:9" x14ac:dyDescent="0.35">
      <c r="A25" s="43"/>
      <c r="B25" s="43"/>
      <c r="C25" s="43"/>
      <c r="D25" s="43"/>
      <c r="E25" s="43"/>
      <c r="F25" s="43"/>
      <c r="G25" s="43"/>
      <c r="H25" s="43"/>
      <c r="I25" s="43"/>
    </row>
    <row r="26" spans="1:9" x14ac:dyDescent="0.35">
      <c r="A26" s="43"/>
      <c r="B26" s="43"/>
      <c r="C26" s="43"/>
      <c r="D26" s="43"/>
      <c r="E26" s="43"/>
      <c r="F26" s="58"/>
      <c r="G26" s="58"/>
      <c r="H26" s="58"/>
      <c r="I26" s="43"/>
    </row>
    <row r="27" spans="1:9" x14ac:dyDescent="0.35">
      <c r="A27" s="43"/>
      <c r="B27" s="43"/>
      <c r="C27" s="43"/>
      <c r="D27" s="43"/>
      <c r="E27" s="43"/>
      <c r="F27" s="43"/>
      <c r="G27" s="43"/>
      <c r="H27" s="43"/>
      <c r="I27" s="43"/>
    </row>
    <row r="28" spans="1:9" x14ac:dyDescent="0.35">
      <c r="A28" s="43"/>
      <c r="B28" s="43"/>
      <c r="C28" s="43"/>
      <c r="D28" s="43"/>
      <c r="E28" s="43"/>
      <c r="F28" s="43"/>
      <c r="G28" s="43"/>
      <c r="H28" s="43"/>
      <c r="I28" s="43"/>
    </row>
    <row r="36" spans="3:3" x14ac:dyDescent="0.35">
      <c r="C36" t="str">
        <f t="shared" ref="C36:C37" si="0">LOWER(C24)</f>
        <v/>
      </c>
    </row>
    <row r="37" spans="3:3" x14ac:dyDescent="0.35">
      <c r="C37" t="str">
        <f t="shared" si="0"/>
        <v/>
      </c>
    </row>
  </sheetData>
  <mergeCells count="3">
    <mergeCell ref="A12:E12"/>
    <mergeCell ref="F12:G12"/>
    <mergeCell ref="H12:I12"/>
  </mergeCells>
  <pageMargins left="0.7" right="0.7" top="0.75" bottom="0.75" header="0.3" footer="0.3"/>
  <pageSetup orientation="portrait" verticalDpi="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9BC-9B4F-40CF-9473-CA8FF3617063}">
  <dimension ref="A1:K114"/>
  <sheetViews>
    <sheetView zoomScale="70" zoomScaleNormal="70" workbookViewId="0"/>
  </sheetViews>
  <sheetFormatPr defaultColWidth="9.1796875" defaultRowHeight="13" x14ac:dyDescent="0.35"/>
  <cols>
    <col min="1" max="1" width="20.81640625" style="40" bestFit="1" customWidth="1"/>
    <col min="2" max="2" width="41.453125" style="40" bestFit="1" customWidth="1"/>
    <col min="3" max="3" width="41.81640625" style="40" customWidth="1"/>
    <col min="4" max="4" width="10.26953125" style="40" bestFit="1" customWidth="1"/>
    <col min="5" max="5" width="27.7265625" style="40" bestFit="1" customWidth="1"/>
    <col min="6" max="6" width="15.81640625" style="40" bestFit="1" customWidth="1"/>
    <col min="7" max="7" width="23" style="40" bestFit="1" customWidth="1"/>
    <col min="8" max="8" width="17" style="40" bestFit="1" customWidth="1"/>
    <col min="9" max="9" width="24.1796875" style="40" bestFit="1" customWidth="1"/>
    <col min="10" max="16384" width="9.1796875" style="40"/>
  </cols>
  <sheetData>
    <row r="1" spans="1:11" ht="14.5" x14ac:dyDescent="0.35">
      <c r="A1" s="83"/>
      <c r="B1" s="83"/>
      <c r="C1" s="53"/>
      <c r="D1" s="53"/>
      <c r="E1" s="53"/>
      <c r="F1" s="53"/>
      <c r="G1" s="53"/>
      <c r="H1" s="53"/>
      <c r="I1" s="53"/>
      <c r="J1" s="49"/>
      <c r="K1" s="49"/>
    </row>
    <row r="2" spans="1:11" ht="14.5" x14ac:dyDescent="0.35">
      <c r="A2" s="83"/>
      <c r="B2" s="83"/>
      <c r="C2" s="53"/>
      <c r="D2" s="53"/>
      <c r="E2" s="53"/>
      <c r="F2" s="53"/>
      <c r="G2" s="53"/>
      <c r="H2" s="53"/>
      <c r="I2" s="53"/>
      <c r="J2" s="49"/>
      <c r="K2" s="49"/>
    </row>
    <row r="3" spans="1:11" ht="15.5" x14ac:dyDescent="0.35">
      <c r="A3" s="119" t="s">
        <v>65</v>
      </c>
      <c r="B3" s="83" t="s">
        <v>517</v>
      </c>
      <c r="C3" s="53"/>
      <c r="D3" s="53"/>
      <c r="E3" s="53"/>
      <c r="F3" s="53"/>
      <c r="G3" s="53"/>
      <c r="H3" s="53"/>
      <c r="I3" s="53"/>
      <c r="J3" s="49"/>
      <c r="K3" s="49"/>
    </row>
    <row r="4" spans="1:11" ht="15.5" x14ac:dyDescent="0.35">
      <c r="A4" s="119" t="s">
        <v>67</v>
      </c>
      <c r="B4" s="83" t="str">
        <f>VLOOKUP(B3,DATA!$A$2:$E$80,3)</f>
        <v>Jamestown</v>
      </c>
      <c r="C4" s="53"/>
      <c r="D4" s="53"/>
      <c r="E4" s="53"/>
      <c r="F4" s="53"/>
      <c r="G4" s="53"/>
      <c r="H4" s="53"/>
      <c r="I4" s="53"/>
      <c r="J4" s="49"/>
      <c r="K4" s="49"/>
    </row>
    <row r="5" spans="1:11" ht="15.5" x14ac:dyDescent="0.35">
      <c r="A5" s="119" t="s">
        <v>69</v>
      </c>
      <c r="B5" s="83" t="str">
        <f>VLOOKUP(B3,DATA!$A$2:$E$80,4)</f>
        <v>Jamestown Municipal</v>
      </c>
      <c r="C5" s="53"/>
      <c r="D5" s="53"/>
      <c r="E5" s="53"/>
      <c r="F5" s="53"/>
      <c r="G5" s="53"/>
      <c r="H5" s="53"/>
      <c r="I5" s="53"/>
      <c r="J5" s="49"/>
      <c r="K5" s="49"/>
    </row>
    <row r="6" spans="1:11" ht="15.5" x14ac:dyDescent="0.35">
      <c r="A6" s="119" t="s">
        <v>70</v>
      </c>
      <c r="B6" s="83" t="s">
        <v>748</v>
      </c>
      <c r="C6" s="53"/>
      <c r="D6" s="53"/>
      <c r="E6" s="53"/>
      <c r="F6" s="53"/>
      <c r="G6" s="53"/>
      <c r="H6" s="53"/>
      <c r="I6" s="53"/>
      <c r="J6" s="49"/>
      <c r="K6" s="49"/>
    </row>
    <row r="7" spans="1:11" ht="15.5" x14ac:dyDescent="0.35">
      <c r="A7" s="119" t="s">
        <v>71</v>
      </c>
      <c r="B7" s="83"/>
      <c r="C7" s="53"/>
      <c r="D7" s="53"/>
      <c r="E7" s="53"/>
      <c r="F7" s="53"/>
      <c r="G7" s="53"/>
      <c r="H7" s="53"/>
      <c r="I7" s="53"/>
      <c r="J7" s="49"/>
      <c r="K7" s="49"/>
    </row>
    <row r="8" spans="1:11" ht="15.5" x14ac:dyDescent="0.35">
      <c r="A8" s="119" t="s">
        <v>72</v>
      </c>
      <c r="B8" s="120">
        <v>44706</v>
      </c>
      <c r="C8" s="53"/>
      <c r="D8" s="53"/>
      <c r="E8" s="52"/>
      <c r="F8" s="53"/>
      <c r="G8" s="53"/>
      <c r="H8" s="53"/>
      <c r="I8" s="53"/>
      <c r="J8" s="49"/>
      <c r="K8" s="49"/>
    </row>
    <row r="9" spans="1:11" ht="15.5" x14ac:dyDescent="0.35">
      <c r="A9" s="119" t="s">
        <v>66</v>
      </c>
      <c r="B9" s="83" t="str">
        <f>VLOOKUP(B3,DATA!$A$2:$E$80,2)</f>
        <v>Fentress</v>
      </c>
      <c r="C9" s="53"/>
      <c r="D9" s="53"/>
      <c r="E9" s="53"/>
      <c r="F9" s="53"/>
      <c r="G9" s="53"/>
      <c r="H9" s="53"/>
      <c r="I9" s="53"/>
      <c r="J9" s="49"/>
      <c r="K9" s="49"/>
    </row>
    <row r="10" spans="1:11" ht="15.5" x14ac:dyDescent="0.35">
      <c r="A10" s="119" t="s">
        <v>68</v>
      </c>
      <c r="B10" s="83" t="str">
        <f>VLOOKUP(B3,DATA!$A$2:$E$80,5)</f>
        <v>Middle</v>
      </c>
      <c r="C10" s="53"/>
      <c r="D10" s="53"/>
      <c r="E10" s="53"/>
      <c r="F10" s="53"/>
      <c r="G10" s="53"/>
      <c r="H10" s="53"/>
      <c r="I10" s="53"/>
      <c r="J10" s="49"/>
      <c r="K10" s="49"/>
    </row>
    <row r="11" spans="1:11" ht="13.5" thickBot="1" x14ac:dyDescent="0.4">
      <c r="A11" s="53"/>
      <c r="B11" s="53"/>
      <c r="C11" s="53"/>
      <c r="D11" s="53"/>
      <c r="E11" s="53"/>
      <c r="F11" s="53"/>
      <c r="G11" s="53"/>
      <c r="H11" s="53"/>
      <c r="I11" s="53"/>
      <c r="J11" s="49"/>
      <c r="K11" s="49"/>
    </row>
    <row r="12" spans="1:11" ht="16" thickBot="1" x14ac:dyDescent="0.4">
      <c r="A12" s="270" t="s">
        <v>831</v>
      </c>
      <c r="B12" s="272"/>
      <c r="C12" s="272"/>
      <c r="D12" s="272"/>
      <c r="E12" s="271"/>
      <c r="F12" s="270" t="s">
        <v>75</v>
      </c>
      <c r="G12" s="271"/>
      <c r="H12" s="270" t="s">
        <v>119</v>
      </c>
      <c r="I12" s="271"/>
      <c r="J12" s="49"/>
      <c r="K12" s="49"/>
    </row>
    <row r="13" spans="1:11" ht="15.5" x14ac:dyDescent="0.35">
      <c r="A13" s="141" t="s">
        <v>62</v>
      </c>
      <c r="B13" s="142" t="s">
        <v>98</v>
      </c>
      <c r="C13" s="142" t="s">
        <v>0</v>
      </c>
      <c r="D13" s="142" t="s">
        <v>1</v>
      </c>
      <c r="E13" s="142" t="s">
        <v>64</v>
      </c>
      <c r="F13" s="142" t="s">
        <v>262</v>
      </c>
      <c r="G13" s="142" t="s">
        <v>94</v>
      </c>
      <c r="H13" s="142" t="s">
        <v>355</v>
      </c>
      <c r="I13" s="142" t="s">
        <v>357</v>
      </c>
      <c r="J13" s="49"/>
      <c r="K13" s="49"/>
    </row>
    <row r="14" spans="1:11" ht="14.5" x14ac:dyDescent="0.35">
      <c r="A14" s="145">
        <v>1</v>
      </c>
      <c r="B14" s="109" t="s">
        <v>28</v>
      </c>
      <c r="C14" s="110" t="s">
        <v>263</v>
      </c>
      <c r="D14" s="109" t="s">
        <v>3</v>
      </c>
      <c r="E14" s="111">
        <v>1</v>
      </c>
      <c r="F14" s="112">
        <v>64230</v>
      </c>
      <c r="G14" s="113">
        <v>64230</v>
      </c>
      <c r="H14" s="112">
        <v>99000</v>
      </c>
      <c r="I14" s="113">
        <v>99000</v>
      </c>
      <c r="J14" s="53"/>
      <c r="K14" s="49"/>
    </row>
    <row r="15" spans="1:11" ht="14.5" x14ac:dyDescent="0.35">
      <c r="A15" s="145">
        <v>2</v>
      </c>
      <c r="B15" s="109" t="s">
        <v>749</v>
      </c>
      <c r="C15" s="110" t="s">
        <v>750</v>
      </c>
      <c r="D15" s="109" t="s">
        <v>3</v>
      </c>
      <c r="E15" s="111">
        <v>1</v>
      </c>
      <c r="F15" s="112">
        <v>20000</v>
      </c>
      <c r="G15" s="113">
        <v>20000</v>
      </c>
      <c r="H15" s="112">
        <v>90000</v>
      </c>
      <c r="I15" s="113">
        <v>90000</v>
      </c>
      <c r="J15" s="53"/>
      <c r="K15" s="49"/>
    </row>
    <row r="16" spans="1:11" ht="14.5" x14ac:dyDescent="0.35">
      <c r="A16" s="145">
        <v>3</v>
      </c>
      <c r="B16" s="109" t="s">
        <v>99</v>
      </c>
      <c r="C16" s="110" t="s">
        <v>100</v>
      </c>
      <c r="D16" s="109" t="s">
        <v>3</v>
      </c>
      <c r="E16" s="111">
        <v>1</v>
      </c>
      <c r="F16" s="112">
        <v>40000</v>
      </c>
      <c r="G16" s="113">
        <v>40000</v>
      </c>
      <c r="H16" s="112">
        <v>155000</v>
      </c>
      <c r="I16" s="113">
        <v>155000</v>
      </c>
      <c r="J16" s="53"/>
      <c r="K16" s="49"/>
    </row>
    <row r="17" spans="1:11" ht="14.5" x14ac:dyDescent="0.35">
      <c r="A17" s="145">
        <v>4</v>
      </c>
      <c r="B17" s="109" t="s">
        <v>266</v>
      </c>
      <c r="C17" s="110" t="s">
        <v>267</v>
      </c>
      <c r="D17" s="109" t="s">
        <v>83</v>
      </c>
      <c r="E17" s="114">
        <v>0.5</v>
      </c>
      <c r="F17" s="113">
        <v>3500</v>
      </c>
      <c r="G17" s="113">
        <v>1750</v>
      </c>
      <c r="H17" s="113">
        <v>6850</v>
      </c>
      <c r="I17" s="113">
        <v>3425</v>
      </c>
      <c r="J17" s="53"/>
      <c r="K17" s="49"/>
    </row>
    <row r="18" spans="1:11" ht="29" x14ac:dyDescent="0.35">
      <c r="A18" s="145">
        <v>5</v>
      </c>
      <c r="B18" s="109" t="s">
        <v>268</v>
      </c>
      <c r="C18" s="110" t="s">
        <v>751</v>
      </c>
      <c r="D18" s="109" t="s">
        <v>21</v>
      </c>
      <c r="E18" s="111">
        <v>250</v>
      </c>
      <c r="F18" s="115">
        <v>6</v>
      </c>
      <c r="G18" s="113">
        <v>1500</v>
      </c>
      <c r="H18" s="115">
        <v>6.1</v>
      </c>
      <c r="I18" s="113">
        <v>1525</v>
      </c>
      <c r="J18" s="53"/>
      <c r="K18" s="49"/>
    </row>
    <row r="19" spans="1:11" ht="14.5" x14ac:dyDescent="0.35">
      <c r="A19" s="145">
        <v>6</v>
      </c>
      <c r="B19" s="109" t="s">
        <v>272</v>
      </c>
      <c r="C19" s="110" t="s">
        <v>273</v>
      </c>
      <c r="D19" s="109" t="s">
        <v>21</v>
      </c>
      <c r="E19" s="111">
        <v>500</v>
      </c>
      <c r="F19" s="115">
        <v>6.5</v>
      </c>
      <c r="G19" s="113">
        <v>3250</v>
      </c>
      <c r="H19" s="115">
        <v>4.5999999999999996</v>
      </c>
      <c r="I19" s="113">
        <v>2300</v>
      </c>
      <c r="J19" s="53"/>
      <c r="K19" s="49"/>
    </row>
    <row r="20" spans="1:11" ht="29" x14ac:dyDescent="0.35">
      <c r="A20" s="145">
        <v>8</v>
      </c>
      <c r="B20" s="109" t="s">
        <v>752</v>
      </c>
      <c r="C20" s="110" t="s">
        <v>753</v>
      </c>
      <c r="D20" s="109" t="s">
        <v>8</v>
      </c>
      <c r="E20" s="111">
        <v>300</v>
      </c>
      <c r="F20" s="115">
        <v>25</v>
      </c>
      <c r="G20" s="113">
        <v>7500</v>
      </c>
      <c r="H20" s="115">
        <v>9.3000000000000007</v>
      </c>
      <c r="I20" s="113">
        <v>2790</v>
      </c>
      <c r="J20" s="53"/>
      <c r="K20" s="49"/>
    </row>
    <row r="21" spans="1:11" ht="29" x14ac:dyDescent="0.35">
      <c r="A21" s="145">
        <v>9</v>
      </c>
      <c r="B21" s="109" t="s">
        <v>754</v>
      </c>
      <c r="C21" s="110" t="s">
        <v>755</v>
      </c>
      <c r="D21" s="109" t="s">
        <v>8</v>
      </c>
      <c r="E21" s="111">
        <v>100</v>
      </c>
      <c r="F21" s="115">
        <v>30</v>
      </c>
      <c r="G21" s="113">
        <v>3000</v>
      </c>
      <c r="H21" s="115">
        <v>9.3000000000000007</v>
      </c>
      <c r="I21" s="115">
        <v>930</v>
      </c>
      <c r="J21" s="53"/>
      <c r="K21" s="49"/>
    </row>
    <row r="22" spans="1:11" ht="29" x14ac:dyDescent="0.35">
      <c r="A22" s="145">
        <v>10</v>
      </c>
      <c r="B22" s="109" t="s">
        <v>756</v>
      </c>
      <c r="C22" s="110" t="s">
        <v>757</v>
      </c>
      <c r="D22" s="109" t="s">
        <v>8</v>
      </c>
      <c r="E22" s="111">
        <v>3</v>
      </c>
      <c r="F22" s="115">
        <v>20</v>
      </c>
      <c r="G22" s="115">
        <v>60</v>
      </c>
      <c r="H22" s="115">
        <v>9.3000000000000007</v>
      </c>
      <c r="I22" s="115">
        <v>27.9</v>
      </c>
      <c r="J22" s="53"/>
      <c r="K22" s="49"/>
    </row>
    <row r="23" spans="1:11" ht="14.5" x14ac:dyDescent="0.35">
      <c r="A23" s="145">
        <v>11</v>
      </c>
      <c r="B23" s="109" t="s">
        <v>276</v>
      </c>
      <c r="C23" s="110" t="s">
        <v>758</v>
      </c>
      <c r="D23" s="109" t="s">
        <v>21</v>
      </c>
      <c r="E23" s="111">
        <v>600</v>
      </c>
      <c r="F23" s="115">
        <v>2</v>
      </c>
      <c r="G23" s="113">
        <v>1200</v>
      </c>
      <c r="H23" s="115">
        <v>4.9000000000000004</v>
      </c>
      <c r="I23" s="113">
        <v>2940</v>
      </c>
      <c r="J23" s="53"/>
      <c r="K23" s="49"/>
    </row>
    <row r="24" spans="1:11" ht="14.5" x14ac:dyDescent="0.35">
      <c r="A24" s="145">
        <v>12</v>
      </c>
      <c r="B24" s="109" t="s">
        <v>279</v>
      </c>
      <c r="C24" s="110" t="s">
        <v>759</v>
      </c>
      <c r="D24" s="109" t="s">
        <v>8</v>
      </c>
      <c r="E24" s="116">
        <v>1045</v>
      </c>
      <c r="F24" s="115">
        <v>10</v>
      </c>
      <c r="G24" s="113">
        <v>10450</v>
      </c>
      <c r="H24" s="115">
        <v>11</v>
      </c>
      <c r="I24" s="113">
        <v>11495</v>
      </c>
      <c r="J24" s="53"/>
      <c r="K24" s="49"/>
    </row>
    <row r="25" spans="1:11" ht="29" x14ac:dyDescent="0.35">
      <c r="A25" s="145">
        <v>13</v>
      </c>
      <c r="B25" s="109" t="s">
        <v>46</v>
      </c>
      <c r="C25" s="110" t="s">
        <v>760</v>
      </c>
      <c r="D25" s="109" t="s">
        <v>11</v>
      </c>
      <c r="E25" s="111">
        <v>260</v>
      </c>
      <c r="F25" s="115">
        <v>12</v>
      </c>
      <c r="G25" s="113">
        <v>3120</v>
      </c>
      <c r="H25" s="115">
        <v>25</v>
      </c>
      <c r="I25" s="113">
        <v>6500</v>
      </c>
      <c r="J25" s="53"/>
      <c r="K25" s="49"/>
    </row>
    <row r="26" spans="1:11" ht="29" x14ac:dyDescent="0.35">
      <c r="A26" s="145">
        <v>14</v>
      </c>
      <c r="B26" s="109" t="s">
        <v>47</v>
      </c>
      <c r="C26" s="110" t="s">
        <v>761</v>
      </c>
      <c r="D26" s="109" t="s">
        <v>11</v>
      </c>
      <c r="E26" s="111">
        <v>190</v>
      </c>
      <c r="F26" s="115">
        <v>20</v>
      </c>
      <c r="G26" s="113">
        <v>3800</v>
      </c>
      <c r="H26" s="115">
        <v>27</v>
      </c>
      <c r="I26" s="113">
        <v>5130</v>
      </c>
      <c r="J26" s="53"/>
      <c r="K26" s="49"/>
    </row>
    <row r="27" spans="1:11" ht="14.5" x14ac:dyDescent="0.35">
      <c r="A27" s="145">
        <v>15</v>
      </c>
      <c r="B27" s="109" t="s">
        <v>762</v>
      </c>
      <c r="C27" s="110" t="s">
        <v>763</v>
      </c>
      <c r="D27" s="109" t="s">
        <v>8</v>
      </c>
      <c r="E27" s="111">
        <v>340</v>
      </c>
      <c r="F27" s="115">
        <v>5</v>
      </c>
      <c r="G27" s="113">
        <v>1700</v>
      </c>
      <c r="H27" s="115">
        <v>4.95</v>
      </c>
      <c r="I27" s="113">
        <v>1683</v>
      </c>
      <c r="J27" s="53"/>
      <c r="K27" s="49"/>
    </row>
    <row r="28" spans="1:11" ht="58" x14ac:dyDescent="0.35">
      <c r="A28" s="145">
        <v>16</v>
      </c>
      <c r="B28" s="109" t="s">
        <v>48</v>
      </c>
      <c r="C28" s="110" t="s">
        <v>764</v>
      </c>
      <c r="D28" s="109" t="s">
        <v>8</v>
      </c>
      <c r="E28" s="116">
        <v>3489</v>
      </c>
      <c r="F28" s="115">
        <v>30</v>
      </c>
      <c r="G28" s="113">
        <v>104670</v>
      </c>
      <c r="H28" s="115">
        <v>9</v>
      </c>
      <c r="I28" s="113">
        <v>31401</v>
      </c>
      <c r="J28" s="53"/>
      <c r="K28" s="49"/>
    </row>
    <row r="29" spans="1:11" ht="58" x14ac:dyDescent="0.35">
      <c r="A29" s="145">
        <v>17</v>
      </c>
      <c r="B29" s="109" t="s">
        <v>49</v>
      </c>
      <c r="C29" s="110" t="s">
        <v>765</v>
      </c>
      <c r="D29" s="109" t="s">
        <v>8</v>
      </c>
      <c r="E29" s="111">
        <v>289</v>
      </c>
      <c r="F29" s="115">
        <v>31</v>
      </c>
      <c r="G29" s="113">
        <v>8959</v>
      </c>
      <c r="H29" s="115">
        <v>9</v>
      </c>
      <c r="I29" s="113">
        <v>2601</v>
      </c>
      <c r="J29" s="53"/>
      <c r="K29" s="49"/>
    </row>
    <row r="30" spans="1:11" ht="58" x14ac:dyDescent="0.35">
      <c r="A30" s="145">
        <v>18</v>
      </c>
      <c r="B30" s="109" t="s">
        <v>108</v>
      </c>
      <c r="C30" s="110" t="s">
        <v>766</v>
      </c>
      <c r="D30" s="109" t="s">
        <v>8</v>
      </c>
      <c r="E30" s="111">
        <v>100</v>
      </c>
      <c r="F30" s="115">
        <v>32</v>
      </c>
      <c r="G30" s="113">
        <v>3200</v>
      </c>
      <c r="H30" s="115">
        <v>9</v>
      </c>
      <c r="I30" s="115">
        <v>900</v>
      </c>
      <c r="J30" s="53"/>
      <c r="K30" s="49"/>
    </row>
    <row r="31" spans="1:11" ht="14.5" x14ac:dyDescent="0.35">
      <c r="A31" s="145">
        <v>19</v>
      </c>
      <c r="B31" s="109" t="s">
        <v>767</v>
      </c>
      <c r="C31" s="110" t="s">
        <v>338</v>
      </c>
      <c r="D31" s="109" t="s">
        <v>51</v>
      </c>
      <c r="E31" s="111">
        <v>100</v>
      </c>
      <c r="F31" s="115">
        <v>250</v>
      </c>
      <c r="G31" s="113">
        <v>25000</v>
      </c>
      <c r="H31" s="115">
        <v>355</v>
      </c>
      <c r="I31" s="113">
        <v>35500</v>
      </c>
      <c r="J31" s="53"/>
      <c r="K31" s="49"/>
    </row>
    <row r="32" spans="1:11" ht="29" x14ac:dyDescent="0.35">
      <c r="A32" s="145">
        <v>20</v>
      </c>
      <c r="B32" s="109" t="s">
        <v>768</v>
      </c>
      <c r="C32" s="110" t="s">
        <v>769</v>
      </c>
      <c r="D32" s="109" t="s">
        <v>8</v>
      </c>
      <c r="E32" s="111">
        <v>285</v>
      </c>
      <c r="F32" s="115">
        <v>20</v>
      </c>
      <c r="G32" s="113">
        <v>5700</v>
      </c>
      <c r="H32" s="115">
        <v>20</v>
      </c>
      <c r="I32" s="113">
        <v>5700</v>
      </c>
      <c r="J32" s="53"/>
      <c r="K32" s="49"/>
    </row>
    <row r="33" spans="1:11" ht="29" x14ac:dyDescent="0.35">
      <c r="A33" s="145">
        <v>21</v>
      </c>
      <c r="B33" s="109" t="s">
        <v>50</v>
      </c>
      <c r="C33" s="110" t="s">
        <v>770</v>
      </c>
      <c r="D33" s="109" t="s">
        <v>51</v>
      </c>
      <c r="E33" s="111">
        <v>135</v>
      </c>
      <c r="F33" s="115">
        <v>250</v>
      </c>
      <c r="G33" s="113">
        <v>33750</v>
      </c>
      <c r="H33" s="115">
        <v>206</v>
      </c>
      <c r="I33" s="113">
        <v>27810</v>
      </c>
      <c r="J33" s="53"/>
      <c r="K33" s="49"/>
    </row>
    <row r="34" spans="1:11" ht="29" x14ac:dyDescent="0.35">
      <c r="A34" s="145">
        <v>22</v>
      </c>
      <c r="B34" s="109" t="s">
        <v>339</v>
      </c>
      <c r="C34" s="110" t="s">
        <v>771</v>
      </c>
      <c r="D34" s="109" t="s">
        <v>51</v>
      </c>
      <c r="E34" s="111">
        <v>925</v>
      </c>
      <c r="F34" s="115">
        <v>250</v>
      </c>
      <c r="G34" s="113">
        <v>231250</v>
      </c>
      <c r="H34" s="115">
        <v>206</v>
      </c>
      <c r="I34" s="113">
        <v>190550</v>
      </c>
      <c r="J34" s="53"/>
      <c r="K34" s="49"/>
    </row>
    <row r="35" spans="1:11" ht="14.5" x14ac:dyDescent="0.35">
      <c r="A35" s="145">
        <v>23</v>
      </c>
      <c r="B35" s="109" t="s">
        <v>772</v>
      </c>
      <c r="C35" s="110" t="s">
        <v>773</v>
      </c>
      <c r="D35" s="109" t="s">
        <v>8</v>
      </c>
      <c r="E35" s="111">
        <v>289</v>
      </c>
      <c r="F35" s="115">
        <v>115</v>
      </c>
      <c r="G35" s="113">
        <v>33235</v>
      </c>
      <c r="H35" s="115">
        <v>285</v>
      </c>
      <c r="I35" s="113">
        <v>82365</v>
      </c>
      <c r="J35" s="53"/>
      <c r="K35" s="49"/>
    </row>
    <row r="36" spans="1:11" ht="14.5" x14ac:dyDescent="0.35">
      <c r="A36" s="145">
        <v>24</v>
      </c>
      <c r="B36" s="109" t="s">
        <v>774</v>
      </c>
      <c r="C36" s="110" t="s">
        <v>775</v>
      </c>
      <c r="D36" s="109" t="s">
        <v>8</v>
      </c>
      <c r="E36" s="111">
        <v>100</v>
      </c>
      <c r="F36" s="115">
        <v>116</v>
      </c>
      <c r="G36" s="113">
        <v>11600</v>
      </c>
      <c r="H36" s="115">
        <v>245</v>
      </c>
      <c r="I36" s="113">
        <v>24500</v>
      </c>
      <c r="J36" s="53"/>
      <c r="K36" s="49"/>
    </row>
    <row r="37" spans="1:11" ht="14.5" x14ac:dyDescent="0.35">
      <c r="A37" s="145">
        <v>25</v>
      </c>
      <c r="B37" s="109" t="s">
        <v>341</v>
      </c>
      <c r="C37" s="110" t="s">
        <v>342</v>
      </c>
      <c r="D37" s="109" t="s">
        <v>53</v>
      </c>
      <c r="E37" s="116">
        <v>1455</v>
      </c>
      <c r="F37" s="115">
        <v>7</v>
      </c>
      <c r="G37" s="113">
        <v>10185</v>
      </c>
      <c r="H37" s="115">
        <v>7</v>
      </c>
      <c r="I37" s="113">
        <v>10185</v>
      </c>
      <c r="J37" s="53"/>
      <c r="K37" s="49"/>
    </row>
    <row r="38" spans="1:11" ht="14.5" x14ac:dyDescent="0.35">
      <c r="A38" s="145">
        <v>26</v>
      </c>
      <c r="B38" s="109" t="s">
        <v>287</v>
      </c>
      <c r="C38" s="110" t="s">
        <v>288</v>
      </c>
      <c r="D38" s="109" t="s">
        <v>53</v>
      </c>
      <c r="E38" s="111">
        <v>500</v>
      </c>
      <c r="F38" s="115">
        <v>5</v>
      </c>
      <c r="G38" s="113">
        <v>2500</v>
      </c>
      <c r="H38" s="115">
        <v>5.9</v>
      </c>
      <c r="I38" s="113">
        <v>2950</v>
      </c>
      <c r="J38" s="53"/>
      <c r="K38" s="49"/>
    </row>
    <row r="39" spans="1:11" ht="14.5" x14ac:dyDescent="0.35">
      <c r="A39" s="145">
        <v>27</v>
      </c>
      <c r="B39" s="109" t="s">
        <v>776</v>
      </c>
      <c r="C39" s="110" t="s">
        <v>777</v>
      </c>
      <c r="D39" s="109" t="s">
        <v>21</v>
      </c>
      <c r="E39" s="111">
        <v>515</v>
      </c>
      <c r="F39" s="115">
        <v>3</v>
      </c>
      <c r="G39" s="113">
        <v>1545</v>
      </c>
      <c r="H39" s="115">
        <v>8</v>
      </c>
      <c r="I39" s="113">
        <v>4120</v>
      </c>
      <c r="J39" s="53"/>
      <c r="K39" s="49"/>
    </row>
    <row r="40" spans="1:11" ht="14.5" x14ac:dyDescent="0.35">
      <c r="A40" s="145">
        <v>28</v>
      </c>
      <c r="B40" s="109" t="s">
        <v>58</v>
      </c>
      <c r="C40" s="110" t="s">
        <v>778</v>
      </c>
      <c r="D40" s="109" t="s">
        <v>57</v>
      </c>
      <c r="E40" s="111">
        <v>105</v>
      </c>
      <c r="F40" s="115">
        <v>8</v>
      </c>
      <c r="G40" s="115">
        <v>840</v>
      </c>
      <c r="H40" s="115">
        <v>4.45</v>
      </c>
      <c r="I40" s="115">
        <v>467.25</v>
      </c>
      <c r="J40" s="53"/>
      <c r="K40" s="49"/>
    </row>
    <row r="41" spans="1:11" ht="14.5" x14ac:dyDescent="0.35">
      <c r="A41" s="145">
        <v>29</v>
      </c>
      <c r="B41" s="109" t="s">
        <v>294</v>
      </c>
      <c r="C41" s="110" t="s">
        <v>779</v>
      </c>
      <c r="D41" s="109" t="s">
        <v>57</v>
      </c>
      <c r="E41" s="111">
        <v>210</v>
      </c>
      <c r="F41" s="115">
        <v>8</v>
      </c>
      <c r="G41" s="113">
        <v>1680</v>
      </c>
      <c r="H41" s="115">
        <v>4.45</v>
      </c>
      <c r="I41" s="115">
        <v>934.5</v>
      </c>
      <c r="J41" s="53"/>
      <c r="K41" s="49"/>
    </row>
    <row r="42" spans="1:11" ht="14.5" x14ac:dyDescent="0.35">
      <c r="A42" s="145">
        <v>30</v>
      </c>
      <c r="B42" s="109" t="s">
        <v>115</v>
      </c>
      <c r="C42" s="110" t="s">
        <v>780</v>
      </c>
      <c r="D42" s="109" t="s">
        <v>299</v>
      </c>
      <c r="E42" s="111">
        <v>6</v>
      </c>
      <c r="F42" s="115">
        <v>10</v>
      </c>
      <c r="G42" s="115">
        <v>60</v>
      </c>
      <c r="H42" s="115">
        <v>1.35</v>
      </c>
      <c r="I42" s="115">
        <v>8.1</v>
      </c>
      <c r="J42" s="53"/>
      <c r="K42" s="49"/>
    </row>
    <row r="43" spans="1:11" ht="14.5" x14ac:dyDescent="0.35">
      <c r="A43" s="145">
        <v>31</v>
      </c>
      <c r="B43" s="109" t="s">
        <v>343</v>
      </c>
      <c r="C43" s="110" t="s">
        <v>781</v>
      </c>
      <c r="D43" s="109" t="s">
        <v>21</v>
      </c>
      <c r="E43" s="111">
        <v>108</v>
      </c>
      <c r="F43" s="115">
        <v>8</v>
      </c>
      <c r="G43" s="115">
        <v>864</v>
      </c>
      <c r="H43" s="115">
        <v>1.6</v>
      </c>
      <c r="I43" s="115">
        <v>172.8</v>
      </c>
      <c r="J43" s="53"/>
      <c r="K43" s="49"/>
    </row>
    <row r="44" spans="1:11" ht="29" x14ac:dyDescent="0.35">
      <c r="A44" s="145">
        <v>32</v>
      </c>
      <c r="B44" s="109" t="s">
        <v>297</v>
      </c>
      <c r="C44" s="110" t="s">
        <v>782</v>
      </c>
      <c r="D44" s="109" t="s">
        <v>16</v>
      </c>
      <c r="E44" s="111">
        <v>1</v>
      </c>
      <c r="F44" s="115">
        <v>400</v>
      </c>
      <c r="G44" s="115">
        <v>400</v>
      </c>
      <c r="H44" s="115">
        <v>440</v>
      </c>
      <c r="I44" s="115">
        <v>440</v>
      </c>
      <c r="J44" s="53"/>
      <c r="K44" s="49"/>
    </row>
    <row r="45" spans="1:11" ht="14.5" x14ac:dyDescent="0.35">
      <c r="A45" s="145">
        <v>34</v>
      </c>
      <c r="B45" s="109" t="s">
        <v>345</v>
      </c>
      <c r="C45" s="110" t="s">
        <v>783</v>
      </c>
      <c r="D45" s="109" t="s">
        <v>21</v>
      </c>
      <c r="E45" s="111">
        <v>140</v>
      </c>
      <c r="F45" s="115">
        <v>50</v>
      </c>
      <c r="G45" s="113">
        <v>7000</v>
      </c>
      <c r="H45" s="115">
        <v>52</v>
      </c>
      <c r="I45" s="113">
        <v>7280</v>
      </c>
      <c r="J45" s="53"/>
      <c r="K45" s="49"/>
    </row>
    <row r="46" spans="1:11" ht="14.5" x14ac:dyDescent="0.35">
      <c r="A46" s="145">
        <v>35</v>
      </c>
      <c r="B46" s="109" t="s">
        <v>347</v>
      </c>
      <c r="C46" s="110" t="s">
        <v>784</v>
      </c>
      <c r="D46" s="109" t="s">
        <v>16</v>
      </c>
      <c r="E46" s="111">
        <v>1</v>
      </c>
      <c r="F46" s="113">
        <v>2500</v>
      </c>
      <c r="G46" s="113">
        <v>2500</v>
      </c>
      <c r="H46" s="113">
        <v>1600</v>
      </c>
      <c r="I46" s="113">
        <v>1600</v>
      </c>
      <c r="J46" s="53"/>
      <c r="K46" s="49"/>
    </row>
    <row r="47" spans="1:11" ht="14.5" x14ac:dyDescent="0.35">
      <c r="A47" s="145">
        <v>36</v>
      </c>
      <c r="B47" s="109" t="s">
        <v>785</v>
      </c>
      <c r="C47" s="110" t="s">
        <v>786</v>
      </c>
      <c r="D47" s="109" t="s">
        <v>11</v>
      </c>
      <c r="E47" s="111">
        <v>1</v>
      </c>
      <c r="F47" s="115">
        <v>250</v>
      </c>
      <c r="G47" s="115">
        <v>125</v>
      </c>
      <c r="H47" s="113">
        <v>7300</v>
      </c>
      <c r="I47" s="113">
        <v>3650</v>
      </c>
      <c r="J47" s="53"/>
      <c r="K47" s="49"/>
    </row>
    <row r="48" spans="1:11" ht="14.5" x14ac:dyDescent="0.35">
      <c r="A48" s="145">
        <v>37</v>
      </c>
      <c r="B48" s="109" t="s">
        <v>787</v>
      </c>
      <c r="C48" s="110" t="s">
        <v>788</v>
      </c>
      <c r="D48" s="109" t="s">
        <v>11</v>
      </c>
      <c r="E48" s="111">
        <v>7</v>
      </c>
      <c r="F48" s="115">
        <v>250</v>
      </c>
      <c r="G48" s="113">
        <v>1750</v>
      </c>
      <c r="H48" s="113">
        <v>7400</v>
      </c>
      <c r="I48" s="113">
        <v>51800</v>
      </c>
      <c r="J48" s="53"/>
      <c r="K48" s="49"/>
    </row>
    <row r="49" spans="1:11" ht="14.5" x14ac:dyDescent="0.35">
      <c r="A49" s="145">
        <v>38</v>
      </c>
      <c r="B49" s="109" t="s">
        <v>789</v>
      </c>
      <c r="C49" s="110" t="s">
        <v>790</v>
      </c>
      <c r="D49" s="109" t="s">
        <v>21</v>
      </c>
      <c r="E49" s="111">
        <v>84</v>
      </c>
      <c r="F49" s="115">
        <v>150</v>
      </c>
      <c r="G49" s="113">
        <v>12600</v>
      </c>
      <c r="H49" s="115">
        <v>200</v>
      </c>
      <c r="I49" s="113">
        <v>16800</v>
      </c>
      <c r="J49" s="53"/>
      <c r="K49" s="49"/>
    </row>
    <row r="50" spans="1:11" ht="14.5" x14ac:dyDescent="0.35">
      <c r="A50" s="145">
        <v>39</v>
      </c>
      <c r="B50" s="109" t="s">
        <v>791</v>
      </c>
      <c r="C50" s="110" t="s">
        <v>792</v>
      </c>
      <c r="D50" s="109" t="s">
        <v>16</v>
      </c>
      <c r="E50" s="111">
        <v>12</v>
      </c>
      <c r="F50" s="115">
        <v>250</v>
      </c>
      <c r="G50" s="113">
        <v>3000</v>
      </c>
      <c r="H50" s="113">
        <v>1420</v>
      </c>
      <c r="I50" s="113">
        <v>17040</v>
      </c>
      <c r="J50" s="53"/>
      <c r="K50" s="49"/>
    </row>
    <row r="51" spans="1:11" ht="29" x14ac:dyDescent="0.35">
      <c r="A51" s="145">
        <v>41</v>
      </c>
      <c r="B51" s="109" t="s">
        <v>793</v>
      </c>
      <c r="C51" s="110" t="s">
        <v>794</v>
      </c>
      <c r="D51" s="109" t="s">
        <v>21</v>
      </c>
      <c r="E51" s="111">
        <v>36</v>
      </c>
      <c r="F51" s="115">
        <v>50</v>
      </c>
      <c r="G51" s="113">
        <v>1800</v>
      </c>
      <c r="H51" s="115">
        <v>92</v>
      </c>
      <c r="I51" s="113">
        <v>3312</v>
      </c>
      <c r="J51" s="53"/>
      <c r="K51" s="49"/>
    </row>
    <row r="52" spans="1:11" ht="14.5" x14ac:dyDescent="0.35">
      <c r="A52" s="145">
        <v>42</v>
      </c>
      <c r="B52" s="109" t="s">
        <v>795</v>
      </c>
      <c r="C52" s="110" t="s">
        <v>796</v>
      </c>
      <c r="D52" s="109" t="s">
        <v>21</v>
      </c>
      <c r="E52" s="111">
        <v>105</v>
      </c>
      <c r="F52" s="115">
        <v>40</v>
      </c>
      <c r="G52" s="113">
        <v>4200</v>
      </c>
      <c r="H52" s="115">
        <v>92</v>
      </c>
      <c r="I52" s="113">
        <v>9660</v>
      </c>
      <c r="J52" s="53"/>
      <c r="K52" s="49"/>
    </row>
    <row r="53" spans="1:11" ht="14.5" x14ac:dyDescent="0.35">
      <c r="A53" s="145">
        <v>43</v>
      </c>
      <c r="B53" s="109" t="s">
        <v>797</v>
      </c>
      <c r="C53" s="110" t="s">
        <v>798</v>
      </c>
      <c r="D53" s="109" t="s">
        <v>21</v>
      </c>
      <c r="E53" s="111">
        <v>56</v>
      </c>
      <c r="F53" s="115">
        <v>20</v>
      </c>
      <c r="G53" s="113">
        <v>1120</v>
      </c>
      <c r="H53" s="115">
        <v>92</v>
      </c>
      <c r="I53" s="113">
        <v>5152</v>
      </c>
      <c r="J53" s="53"/>
      <c r="K53" s="49"/>
    </row>
    <row r="54" spans="1:11" ht="29" x14ac:dyDescent="0.35">
      <c r="A54" s="145">
        <v>44</v>
      </c>
      <c r="B54" s="109" t="s">
        <v>799</v>
      </c>
      <c r="C54" s="110" t="s">
        <v>800</v>
      </c>
      <c r="D54" s="109" t="s">
        <v>16</v>
      </c>
      <c r="E54" s="111">
        <v>1</v>
      </c>
      <c r="F54" s="113">
        <v>1250</v>
      </c>
      <c r="G54" s="113">
        <v>1250</v>
      </c>
      <c r="H54" s="113">
        <v>4400</v>
      </c>
      <c r="I54" s="113">
        <v>4400</v>
      </c>
      <c r="J54" s="53"/>
      <c r="K54" s="49"/>
    </row>
    <row r="55" spans="1:11" ht="14.5" x14ac:dyDescent="0.35">
      <c r="A55" s="145">
        <v>45</v>
      </c>
      <c r="B55" s="109" t="s">
        <v>801</v>
      </c>
      <c r="C55" s="110" t="s">
        <v>802</v>
      </c>
      <c r="D55" s="109" t="s">
        <v>16</v>
      </c>
      <c r="E55" s="111">
        <v>1</v>
      </c>
      <c r="F55" s="115">
        <v>650</v>
      </c>
      <c r="G55" s="115">
        <v>650</v>
      </c>
      <c r="H55" s="113">
        <v>1160</v>
      </c>
      <c r="I55" s="113">
        <v>1160</v>
      </c>
      <c r="J55" s="53"/>
      <c r="K55" s="49"/>
    </row>
    <row r="56" spans="1:11" ht="14.5" x14ac:dyDescent="0.35">
      <c r="A56" s="145">
        <v>47</v>
      </c>
      <c r="B56" s="109" t="s">
        <v>59</v>
      </c>
      <c r="C56" s="110" t="s">
        <v>300</v>
      </c>
      <c r="D56" s="109" t="s">
        <v>83</v>
      </c>
      <c r="E56" s="114">
        <v>0.5</v>
      </c>
      <c r="F56" s="113">
        <v>3500</v>
      </c>
      <c r="G56" s="113">
        <v>1750</v>
      </c>
      <c r="H56" s="113">
        <v>9600</v>
      </c>
      <c r="I56" s="113">
        <v>4800</v>
      </c>
      <c r="J56" s="53"/>
      <c r="K56" s="49"/>
    </row>
    <row r="57" spans="1:11" ht="14.5" x14ac:dyDescent="0.35">
      <c r="A57" s="145">
        <v>48</v>
      </c>
      <c r="B57" s="109" t="s">
        <v>60</v>
      </c>
      <c r="C57" s="110" t="s">
        <v>117</v>
      </c>
      <c r="D57" s="109" t="s">
        <v>8</v>
      </c>
      <c r="E57" s="111">
        <v>120</v>
      </c>
      <c r="F57" s="115">
        <v>10</v>
      </c>
      <c r="G57" s="113">
        <v>1200</v>
      </c>
      <c r="H57" s="115">
        <v>35</v>
      </c>
      <c r="I57" s="113">
        <v>4200</v>
      </c>
      <c r="J57" s="53"/>
      <c r="K57" s="49"/>
    </row>
    <row r="58" spans="1:11" ht="14.5" x14ac:dyDescent="0.35">
      <c r="A58" s="145">
        <v>50</v>
      </c>
      <c r="B58" s="109" t="s">
        <v>803</v>
      </c>
      <c r="C58" s="110" t="s">
        <v>282</v>
      </c>
      <c r="D58" s="109" t="s">
        <v>3</v>
      </c>
      <c r="E58" s="111">
        <v>1</v>
      </c>
      <c r="F58" s="113">
        <v>3000</v>
      </c>
      <c r="G58" s="113">
        <v>3000</v>
      </c>
      <c r="H58" s="113">
        <v>4850</v>
      </c>
      <c r="I58" s="113">
        <v>4850</v>
      </c>
      <c r="J58" s="53"/>
      <c r="K58" s="49"/>
    </row>
    <row r="59" spans="1:11" ht="116" x14ac:dyDescent="0.35">
      <c r="A59" s="145">
        <v>51</v>
      </c>
      <c r="B59" s="109" t="s">
        <v>804</v>
      </c>
      <c r="C59" s="110" t="s">
        <v>805</v>
      </c>
      <c r="D59" s="109" t="s">
        <v>3</v>
      </c>
      <c r="E59" s="111">
        <v>1</v>
      </c>
      <c r="F59" s="113">
        <v>25000</v>
      </c>
      <c r="G59" s="113">
        <v>25000</v>
      </c>
      <c r="H59" s="113">
        <v>44000</v>
      </c>
      <c r="I59" s="113">
        <v>44000</v>
      </c>
      <c r="J59" s="53"/>
      <c r="K59" s="49"/>
    </row>
    <row r="60" spans="1:11" ht="58.5" thickBot="1" x14ac:dyDescent="0.4">
      <c r="A60" s="145">
        <v>52</v>
      </c>
      <c r="B60" s="109" t="s">
        <v>806</v>
      </c>
      <c r="C60" s="110" t="s">
        <v>807</v>
      </c>
      <c r="D60" s="109" t="s">
        <v>3</v>
      </c>
      <c r="E60" s="111">
        <v>1</v>
      </c>
      <c r="F60" s="113">
        <v>2500</v>
      </c>
      <c r="G60" s="113">
        <v>2500</v>
      </c>
      <c r="H60" s="113">
        <v>15800</v>
      </c>
      <c r="I60" s="113">
        <v>15800</v>
      </c>
      <c r="J60" s="53"/>
      <c r="K60" s="49"/>
    </row>
    <row r="61" spans="1:11" ht="16" thickBot="1" x14ac:dyDescent="0.4">
      <c r="A61" s="108"/>
      <c r="B61" s="53"/>
      <c r="C61" s="117"/>
      <c r="D61" s="117"/>
      <c r="E61" s="48" t="s">
        <v>164</v>
      </c>
      <c r="F61" s="136"/>
      <c r="G61" s="126">
        <f>SUM(Table3[EXTENDED TOTAL])</f>
        <v>706443</v>
      </c>
      <c r="H61" s="126"/>
      <c r="I61" s="126">
        <f>SUM(Table3[EXTENDED TOTAL3])</f>
        <v>998854.55</v>
      </c>
      <c r="J61" s="49"/>
      <c r="K61" s="49"/>
    </row>
    <row r="62" spans="1:11" ht="15" thickBot="1" x14ac:dyDescent="0.4">
      <c r="A62" s="108"/>
      <c r="B62" s="106"/>
      <c r="C62" s="106"/>
      <c r="D62" s="106"/>
      <c r="E62" s="106"/>
      <c r="F62" s="108"/>
      <c r="G62" s="118"/>
      <c r="H62" s="108"/>
      <c r="I62" s="118"/>
      <c r="J62" s="49"/>
      <c r="K62" s="49"/>
    </row>
    <row r="63" spans="1:11" ht="16" thickBot="1" x14ac:dyDescent="0.4">
      <c r="A63" s="270" t="s">
        <v>832</v>
      </c>
      <c r="B63" s="272"/>
      <c r="C63" s="272"/>
      <c r="D63" s="272"/>
      <c r="E63" s="271"/>
      <c r="F63" s="270" t="s">
        <v>75</v>
      </c>
      <c r="G63" s="271"/>
      <c r="H63" s="270" t="s">
        <v>119</v>
      </c>
      <c r="I63" s="271"/>
      <c r="J63" s="49"/>
      <c r="K63" s="49"/>
    </row>
    <row r="64" spans="1:11" ht="15.5" x14ac:dyDescent="0.35">
      <c r="A64" s="143" t="s">
        <v>62</v>
      </c>
      <c r="B64" s="144" t="s">
        <v>98</v>
      </c>
      <c r="C64" s="144" t="s">
        <v>0</v>
      </c>
      <c r="D64" s="144" t="s">
        <v>1</v>
      </c>
      <c r="E64" s="144" t="s">
        <v>64</v>
      </c>
      <c r="F64" s="144" t="s">
        <v>262</v>
      </c>
      <c r="G64" s="144" t="s">
        <v>94</v>
      </c>
      <c r="H64" s="144" t="s">
        <v>355</v>
      </c>
      <c r="I64" s="144" t="s">
        <v>357</v>
      </c>
      <c r="J64" s="49"/>
      <c r="K64" s="49"/>
    </row>
    <row r="65" spans="1:11" ht="14.5" x14ac:dyDescent="0.35">
      <c r="A65" s="145">
        <v>1</v>
      </c>
      <c r="B65" s="109" t="s">
        <v>749</v>
      </c>
      <c r="C65" s="110" t="s">
        <v>750</v>
      </c>
      <c r="D65" s="109" t="s">
        <v>3</v>
      </c>
      <c r="E65" s="111">
        <v>1</v>
      </c>
      <c r="F65" s="112">
        <v>10000</v>
      </c>
      <c r="G65" s="113">
        <v>10000</v>
      </c>
      <c r="H65" s="112">
        <v>25000</v>
      </c>
      <c r="I65" s="113">
        <v>25000</v>
      </c>
      <c r="J65" s="49"/>
      <c r="K65" s="49"/>
    </row>
    <row r="66" spans="1:11" ht="14.5" x14ac:dyDescent="0.35">
      <c r="A66" s="145">
        <v>2</v>
      </c>
      <c r="B66" s="109" t="s">
        <v>99</v>
      </c>
      <c r="C66" s="110" t="s">
        <v>100</v>
      </c>
      <c r="D66" s="109" t="s">
        <v>3</v>
      </c>
      <c r="E66" s="111">
        <v>1</v>
      </c>
      <c r="F66" s="112">
        <v>10000</v>
      </c>
      <c r="G66" s="113">
        <v>10000</v>
      </c>
      <c r="H66" s="112">
        <v>15000</v>
      </c>
      <c r="I66" s="113">
        <v>15000</v>
      </c>
      <c r="J66" s="49"/>
      <c r="K66" s="49"/>
    </row>
    <row r="67" spans="1:11" ht="14.5" x14ac:dyDescent="0.35">
      <c r="A67" s="145">
        <v>3</v>
      </c>
      <c r="B67" s="109" t="s">
        <v>266</v>
      </c>
      <c r="C67" s="110" t="s">
        <v>267</v>
      </c>
      <c r="D67" s="109" t="s">
        <v>83</v>
      </c>
      <c r="E67" s="114">
        <v>0.5</v>
      </c>
      <c r="F67" s="113">
        <v>3500</v>
      </c>
      <c r="G67" s="113">
        <v>1750</v>
      </c>
      <c r="H67" s="112">
        <v>6850</v>
      </c>
      <c r="I67" s="113">
        <v>3425</v>
      </c>
      <c r="J67" s="49"/>
      <c r="K67" s="49"/>
    </row>
    <row r="68" spans="1:11" ht="29" x14ac:dyDescent="0.35">
      <c r="A68" s="145">
        <v>4</v>
      </c>
      <c r="B68" s="109" t="s">
        <v>268</v>
      </c>
      <c r="C68" s="110" t="s">
        <v>751</v>
      </c>
      <c r="D68" s="109" t="s">
        <v>21</v>
      </c>
      <c r="E68" s="111">
        <v>250</v>
      </c>
      <c r="F68" s="115">
        <v>6</v>
      </c>
      <c r="G68" s="113">
        <v>1500</v>
      </c>
      <c r="H68" s="115">
        <v>6.1</v>
      </c>
      <c r="I68" s="113">
        <v>1525</v>
      </c>
      <c r="J68" s="49"/>
      <c r="K68" s="49"/>
    </row>
    <row r="69" spans="1:11" ht="14.5" x14ac:dyDescent="0.35">
      <c r="A69" s="145">
        <v>5</v>
      </c>
      <c r="B69" s="109" t="s">
        <v>276</v>
      </c>
      <c r="C69" s="110" t="s">
        <v>758</v>
      </c>
      <c r="D69" s="109" t="s">
        <v>21</v>
      </c>
      <c r="E69" s="111">
        <v>500</v>
      </c>
      <c r="F69" s="115">
        <v>2.5</v>
      </c>
      <c r="G69" s="113">
        <v>1250</v>
      </c>
      <c r="H69" s="115">
        <v>6.15</v>
      </c>
      <c r="I69" s="113">
        <v>3075</v>
      </c>
      <c r="J69" s="49"/>
      <c r="K69" s="49"/>
    </row>
    <row r="70" spans="1:11" ht="14.5" x14ac:dyDescent="0.35">
      <c r="A70" s="145">
        <v>6</v>
      </c>
      <c r="B70" s="109" t="s">
        <v>279</v>
      </c>
      <c r="C70" s="110" t="s">
        <v>808</v>
      </c>
      <c r="D70" s="109" t="s">
        <v>8</v>
      </c>
      <c r="E70" s="116">
        <v>1190</v>
      </c>
      <c r="F70" s="115">
        <v>10</v>
      </c>
      <c r="G70" s="113">
        <v>11900</v>
      </c>
      <c r="H70" s="115">
        <v>11</v>
      </c>
      <c r="I70" s="113">
        <v>13090</v>
      </c>
      <c r="J70" s="49"/>
      <c r="K70" s="49"/>
    </row>
    <row r="71" spans="1:11" ht="29" x14ac:dyDescent="0.35">
      <c r="A71" s="145">
        <v>7</v>
      </c>
      <c r="B71" s="109" t="s">
        <v>46</v>
      </c>
      <c r="C71" s="110" t="s">
        <v>760</v>
      </c>
      <c r="D71" s="109" t="s">
        <v>11</v>
      </c>
      <c r="E71" s="111">
        <v>100</v>
      </c>
      <c r="F71" s="115">
        <v>12</v>
      </c>
      <c r="G71" s="113">
        <v>1200</v>
      </c>
      <c r="H71" s="115">
        <v>25</v>
      </c>
      <c r="I71" s="113">
        <v>2500</v>
      </c>
      <c r="J71" s="49"/>
      <c r="K71" s="49"/>
    </row>
    <row r="72" spans="1:11" ht="29" x14ac:dyDescent="0.35">
      <c r="A72" s="145">
        <v>8</v>
      </c>
      <c r="B72" s="109" t="s">
        <v>47</v>
      </c>
      <c r="C72" s="110" t="s">
        <v>761</v>
      </c>
      <c r="D72" s="109" t="s">
        <v>11</v>
      </c>
      <c r="E72" s="111">
        <v>75</v>
      </c>
      <c r="F72" s="115">
        <v>20</v>
      </c>
      <c r="G72" s="113">
        <v>1500</v>
      </c>
      <c r="H72" s="115">
        <v>27</v>
      </c>
      <c r="I72" s="113">
        <v>2025</v>
      </c>
      <c r="J72" s="49"/>
      <c r="K72" s="49"/>
    </row>
    <row r="73" spans="1:11" ht="14.5" x14ac:dyDescent="0.35">
      <c r="A73" s="145">
        <v>9</v>
      </c>
      <c r="B73" s="109" t="s">
        <v>762</v>
      </c>
      <c r="C73" s="110" t="s">
        <v>763</v>
      </c>
      <c r="D73" s="109" t="s">
        <v>8</v>
      </c>
      <c r="E73" s="111">
        <v>115</v>
      </c>
      <c r="F73" s="115">
        <v>5</v>
      </c>
      <c r="G73" s="115">
        <v>575</v>
      </c>
      <c r="H73" s="115">
        <v>4.95</v>
      </c>
      <c r="I73" s="115">
        <v>569.25</v>
      </c>
      <c r="J73" s="49"/>
      <c r="K73" s="49"/>
    </row>
    <row r="74" spans="1:11" ht="14.5" x14ac:dyDescent="0.35">
      <c r="A74" s="145">
        <v>10</v>
      </c>
      <c r="B74" s="109" t="s">
        <v>768</v>
      </c>
      <c r="C74" s="110" t="s">
        <v>809</v>
      </c>
      <c r="D74" s="109" t="s">
        <v>8</v>
      </c>
      <c r="E74" s="111">
        <v>100</v>
      </c>
      <c r="F74" s="115">
        <v>20</v>
      </c>
      <c r="G74" s="113">
        <v>2000</v>
      </c>
      <c r="H74" s="115">
        <v>20</v>
      </c>
      <c r="I74" s="113">
        <v>2000</v>
      </c>
      <c r="J74" s="49"/>
      <c r="K74" s="49"/>
    </row>
    <row r="75" spans="1:11" ht="14.5" x14ac:dyDescent="0.35">
      <c r="A75" s="145">
        <v>11</v>
      </c>
      <c r="B75" s="109" t="s">
        <v>50</v>
      </c>
      <c r="C75" s="110" t="s">
        <v>284</v>
      </c>
      <c r="D75" s="109" t="s">
        <v>51</v>
      </c>
      <c r="E75" s="111">
        <v>160</v>
      </c>
      <c r="F75" s="115">
        <v>250</v>
      </c>
      <c r="G75" s="113">
        <v>40000</v>
      </c>
      <c r="H75" s="115">
        <v>206</v>
      </c>
      <c r="I75" s="113">
        <v>32960</v>
      </c>
      <c r="J75" s="49"/>
      <c r="K75" s="49"/>
    </row>
    <row r="76" spans="1:11" ht="14.5" x14ac:dyDescent="0.35">
      <c r="A76" s="145">
        <v>12</v>
      </c>
      <c r="B76" s="109" t="s">
        <v>341</v>
      </c>
      <c r="C76" s="110" t="s">
        <v>342</v>
      </c>
      <c r="D76" s="109" t="s">
        <v>53</v>
      </c>
      <c r="E76" s="111">
        <v>425</v>
      </c>
      <c r="F76" s="115">
        <v>7</v>
      </c>
      <c r="G76" s="113">
        <v>2975</v>
      </c>
      <c r="H76" s="115">
        <v>7</v>
      </c>
      <c r="I76" s="113">
        <v>2975</v>
      </c>
      <c r="J76" s="49"/>
      <c r="K76" s="49"/>
    </row>
    <row r="77" spans="1:11" ht="14.5" x14ac:dyDescent="0.35">
      <c r="A77" s="145">
        <v>13</v>
      </c>
      <c r="B77" s="109" t="s">
        <v>287</v>
      </c>
      <c r="C77" s="110" t="s">
        <v>288</v>
      </c>
      <c r="D77" s="109" t="s">
        <v>53</v>
      </c>
      <c r="E77" s="111">
        <v>125</v>
      </c>
      <c r="F77" s="115">
        <v>5</v>
      </c>
      <c r="G77" s="115">
        <v>625</v>
      </c>
      <c r="H77" s="115">
        <v>5.9</v>
      </c>
      <c r="I77" s="115">
        <v>737.5</v>
      </c>
      <c r="J77" s="49"/>
      <c r="K77" s="49"/>
    </row>
    <row r="78" spans="1:11" ht="29" x14ac:dyDescent="0.35">
      <c r="A78" s="145">
        <v>14</v>
      </c>
      <c r="B78" s="109" t="s">
        <v>810</v>
      </c>
      <c r="C78" s="110" t="s">
        <v>811</v>
      </c>
      <c r="D78" s="109" t="s">
        <v>57</v>
      </c>
      <c r="E78" s="111">
        <v>506</v>
      </c>
      <c r="F78" s="115">
        <v>10</v>
      </c>
      <c r="G78" s="113">
        <v>5060</v>
      </c>
      <c r="H78" s="115">
        <v>4.45</v>
      </c>
      <c r="I78" s="113">
        <v>2251.6999999999998</v>
      </c>
      <c r="J78" s="49"/>
      <c r="K78" s="49"/>
    </row>
    <row r="79" spans="1:11" ht="29.5" thickBot="1" x14ac:dyDescent="0.4">
      <c r="A79" s="145">
        <v>15</v>
      </c>
      <c r="B79" s="109" t="s">
        <v>812</v>
      </c>
      <c r="C79" s="110" t="s">
        <v>813</v>
      </c>
      <c r="D79" s="109" t="s">
        <v>57</v>
      </c>
      <c r="E79" s="111">
        <v>11</v>
      </c>
      <c r="F79" s="115">
        <v>10</v>
      </c>
      <c r="G79" s="115">
        <v>110</v>
      </c>
      <c r="H79" s="115">
        <v>4.9000000000000004</v>
      </c>
      <c r="I79" s="115">
        <v>53.9</v>
      </c>
      <c r="J79" s="49"/>
      <c r="K79" s="49"/>
    </row>
    <row r="80" spans="1:11" ht="16" thickBot="1" x14ac:dyDescent="0.4">
      <c r="A80" s="108"/>
      <c r="B80" s="53"/>
      <c r="C80" s="117"/>
      <c r="D80" s="117"/>
      <c r="E80" s="48" t="s">
        <v>163</v>
      </c>
      <c r="F80" s="125"/>
      <c r="G80" s="126">
        <f>SUM(Table4[EXTENDED TOTAL])</f>
        <v>90445</v>
      </c>
      <c r="H80" s="126"/>
      <c r="I80" s="126">
        <f>SUM(Table4[EXTENDED TOTAL3])</f>
        <v>107187.34999999999</v>
      </c>
      <c r="J80" s="49"/>
      <c r="K80" s="49"/>
    </row>
    <row r="81" spans="1:11" ht="15" thickBot="1" x14ac:dyDescent="0.4">
      <c r="A81" s="108"/>
      <c r="B81" s="106"/>
      <c r="C81" s="106"/>
      <c r="D81" s="106"/>
      <c r="E81" s="106"/>
      <c r="F81" s="107"/>
      <c r="G81" s="107"/>
      <c r="H81" s="107"/>
      <c r="I81" s="107"/>
      <c r="J81" s="49"/>
      <c r="K81" s="49"/>
    </row>
    <row r="82" spans="1:11" ht="15.5" x14ac:dyDescent="0.35">
      <c r="A82" s="267" t="s">
        <v>833</v>
      </c>
      <c r="B82" s="268"/>
      <c r="C82" s="268"/>
      <c r="D82" s="268"/>
      <c r="E82" s="269"/>
      <c r="F82" s="267" t="s">
        <v>75</v>
      </c>
      <c r="G82" s="269"/>
      <c r="H82" s="267" t="s">
        <v>119</v>
      </c>
      <c r="I82" s="269"/>
      <c r="J82" s="49"/>
      <c r="K82" s="49"/>
    </row>
    <row r="83" spans="1:11" ht="15.5" x14ac:dyDescent="0.35">
      <c r="A83" s="143" t="s">
        <v>62</v>
      </c>
      <c r="B83" s="144" t="s">
        <v>98</v>
      </c>
      <c r="C83" s="144" t="s">
        <v>0</v>
      </c>
      <c r="D83" s="144" t="s">
        <v>1</v>
      </c>
      <c r="E83" s="144" t="s">
        <v>64</v>
      </c>
      <c r="F83" s="144" t="s">
        <v>262</v>
      </c>
      <c r="G83" s="144" t="s">
        <v>94</v>
      </c>
      <c r="H83" s="144" t="s">
        <v>355</v>
      </c>
      <c r="I83" s="144" t="s">
        <v>357</v>
      </c>
      <c r="J83" s="49"/>
      <c r="K83" s="49"/>
    </row>
    <row r="84" spans="1:11" ht="14.5" x14ac:dyDescent="0.35">
      <c r="A84" s="145">
        <v>1</v>
      </c>
      <c r="B84" s="109" t="s">
        <v>266</v>
      </c>
      <c r="C84" s="110" t="s">
        <v>267</v>
      </c>
      <c r="D84" s="109" t="s">
        <v>83</v>
      </c>
      <c r="E84" s="111">
        <v>1</v>
      </c>
      <c r="F84" s="113">
        <v>3500</v>
      </c>
      <c r="G84" s="113">
        <v>1750</v>
      </c>
      <c r="H84" s="113">
        <v>6850</v>
      </c>
      <c r="I84" s="113">
        <v>3425</v>
      </c>
      <c r="J84" s="49"/>
      <c r="K84" s="49"/>
    </row>
    <row r="85" spans="1:11" ht="29" x14ac:dyDescent="0.35">
      <c r="A85" s="145">
        <v>2</v>
      </c>
      <c r="B85" s="109" t="s">
        <v>268</v>
      </c>
      <c r="C85" s="110" t="s">
        <v>751</v>
      </c>
      <c r="D85" s="109" t="s">
        <v>21</v>
      </c>
      <c r="E85" s="111">
        <v>200</v>
      </c>
      <c r="F85" s="115">
        <v>6.5</v>
      </c>
      <c r="G85" s="113">
        <v>1300</v>
      </c>
      <c r="H85" s="115">
        <v>6.1</v>
      </c>
      <c r="I85" s="113">
        <v>1220</v>
      </c>
      <c r="J85" s="49"/>
      <c r="K85" s="49"/>
    </row>
    <row r="86" spans="1:11" ht="29" x14ac:dyDescent="0.35">
      <c r="A86" s="145">
        <v>3</v>
      </c>
      <c r="B86" s="109" t="s">
        <v>46</v>
      </c>
      <c r="C86" s="110" t="s">
        <v>760</v>
      </c>
      <c r="D86" s="109" t="s">
        <v>11</v>
      </c>
      <c r="E86" s="111">
        <v>550</v>
      </c>
      <c r="F86" s="115">
        <v>12</v>
      </c>
      <c r="G86" s="113">
        <v>6600</v>
      </c>
      <c r="H86" s="115">
        <v>25</v>
      </c>
      <c r="I86" s="113">
        <v>13750</v>
      </c>
      <c r="J86" s="49"/>
      <c r="K86" s="49"/>
    </row>
    <row r="87" spans="1:11" ht="29" x14ac:dyDescent="0.35">
      <c r="A87" s="145">
        <v>4</v>
      </c>
      <c r="B87" s="109" t="s">
        <v>47</v>
      </c>
      <c r="C87" s="110" t="s">
        <v>761</v>
      </c>
      <c r="D87" s="109" t="s">
        <v>11</v>
      </c>
      <c r="E87" s="111">
        <v>400</v>
      </c>
      <c r="F87" s="115">
        <v>20</v>
      </c>
      <c r="G87" s="113">
        <v>8000</v>
      </c>
      <c r="H87" s="115">
        <v>27</v>
      </c>
      <c r="I87" s="113">
        <v>10800</v>
      </c>
      <c r="J87" s="49"/>
      <c r="K87" s="49"/>
    </row>
    <row r="88" spans="1:11" ht="14.5" x14ac:dyDescent="0.35">
      <c r="A88" s="145">
        <v>5</v>
      </c>
      <c r="B88" s="109" t="s">
        <v>762</v>
      </c>
      <c r="C88" s="110" t="s">
        <v>763</v>
      </c>
      <c r="D88" s="109" t="s">
        <v>8</v>
      </c>
      <c r="E88" s="111">
        <v>725</v>
      </c>
      <c r="F88" s="115">
        <v>5</v>
      </c>
      <c r="G88" s="113">
        <v>3625</v>
      </c>
      <c r="H88" s="115">
        <v>4.95</v>
      </c>
      <c r="I88" s="113">
        <v>3588.75</v>
      </c>
      <c r="J88" s="49"/>
      <c r="K88" s="49"/>
    </row>
    <row r="89" spans="1:11" ht="14.5" x14ac:dyDescent="0.35">
      <c r="A89" s="145">
        <v>6</v>
      </c>
      <c r="B89" s="109" t="s">
        <v>768</v>
      </c>
      <c r="C89" s="110" t="s">
        <v>809</v>
      </c>
      <c r="D89" s="109" t="s">
        <v>8</v>
      </c>
      <c r="E89" s="111">
        <v>600</v>
      </c>
      <c r="F89" s="115">
        <v>20</v>
      </c>
      <c r="G89" s="113">
        <v>12000</v>
      </c>
      <c r="H89" s="115">
        <v>20</v>
      </c>
      <c r="I89" s="113">
        <v>12000</v>
      </c>
      <c r="J89" s="49"/>
      <c r="K89" s="49"/>
    </row>
    <row r="90" spans="1:11" ht="29" x14ac:dyDescent="0.35">
      <c r="A90" s="145">
        <v>7</v>
      </c>
      <c r="B90" s="109" t="s">
        <v>339</v>
      </c>
      <c r="C90" s="110" t="s">
        <v>814</v>
      </c>
      <c r="D90" s="109" t="s">
        <v>51</v>
      </c>
      <c r="E90" s="111">
        <v>140</v>
      </c>
      <c r="F90" s="115">
        <v>250</v>
      </c>
      <c r="G90" s="113">
        <v>35000</v>
      </c>
      <c r="H90" s="115">
        <v>206</v>
      </c>
      <c r="I90" s="113">
        <v>28840</v>
      </c>
      <c r="J90" s="49"/>
      <c r="K90" s="49"/>
    </row>
    <row r="91" spans="1:11" ht="14.5" x14ac:dyDescent="0.35">
      <c r="A91" s="145">
        <v>8</v>
      </c>
      <c r="B91" s="109" t="s">
        <v>341</v>
      </c>
      <c r="C91" s="110" t="s">
        <v>342</v>
      </c>
      <c r="D91" s="109" t="s">
        <v>53</v>
      </c>
      <c r="E91" s="111">
        <v>210</v>
      </c>
      <c r="F91" s="115">
        <v>7</v>
      </c>
      <c r="G91" s="113">
        <v>1470</v>
      </c>
      <c r="H91" s="115">
        <v>7</v>
      </c>
      <c r="I91" s="113">
        <v>1470</v>
      </c>
      <c r="J91" s="49"/>
      <c r="K91" s="49"/>
    </row>
    <row r="92" spans="1:11" ht="14.5" x14ac:dyDescent="0.35">
      <c r="A92" s="145">
        <v>9</v>
      </c>
      <c r="B92" s="109" t="s">
        <v>287</v>
      </c>
      <c r="C92" s="110" t="s">
        <v>288</v>
      </c>
      <c r="D92" s="109" t="s">
        <v>53</v>
      </c>
      <c r="E92" s="111">
        <v>65</v>
      </c>
      <c r="F92" s="115">
        <v>5</v>
      </c>
      <c r="G92" s="115">
        <v>325</v>
      </c>
      <c r="H92" s="115">
        <v>5.9</v>
      </c>
      <c r="I92" s="115">
        <v>383.5</v>
      </c>
      <c r="J92" s="49"/>
      <c r="K92" s="49"/>
    </row>
    <row r="93" spans="1:11" ht="14.5" x14ac:dyDescent="0.35">
      <c r="A93" s="145">
        <v>10</v>
      </c>
      <c r="B93" s="109" t="s">
        <v>343</v>
      </c>
      <c r="C93" s="110" t="s">
        <v>781</v>
      </c>
      <c r="D93" s="109" t="s">
        <v>21</v>
      </c>
      <c r="E93" s="111">
        <v>252</v>
      </c>
      <c r="F93" s="115">
        <v>10</v>
      </c>
      <c r="G93" s="113">
        <v>2520</v>
      </c>
      <c r="H93" s="115">
        <v>1.6</v>
      </c>
      <c r="I93" s="115">
        <v>403.2</v>
      </c>
      <c r="J93" s="49"/>
      <c r="K93" s="49"/>
    </row>
    <row r="94" spans="1:11" ht="14.5" x14ac:dyDescent="0.35">
      <c r="A94" s="145">
        <v>11</v>
      </c>
      <c r="B94" s="109" t="s">
        <v>815</v>
      </c>
      <c r="C94" s="110" t="s">
        <v>816</v>
      </c>
      <c r="D94" s="109" t="s">
        <v>16</v>
      </c>
      <c r="E94" s="111">
        <v>16</v>
      </c>
      <c r="F94" s="115">
        <v>200</v>
      </c>
      <c r="G94" s="113">
        <v>3200</v>
      </c>
      <c r="H94" s="115">
        <v>190</v>
      </c>
      <c r="I94" s="113">
        <v>3040</v>
      </c>
      <c r="J94" s="49"/>
      <c r="K94" s="49"/>
    </row>
    <row r="95" spans="1:11" ht="29" x14ac:dyDescent="0.35">
      <c r="A95" s="145">
        <v>12</v>
      </c>
      <c r="B95" s="109" t="s">
        <v>817</v>
      </c>
      <c r="C95" s="110" t="s">
        <v>818</v>
      </c>
      <c r="D95" s="109" t="s">
        <v>11</v>
      </c>
      <c r="E95" s="111">
        <v>7</v>
      </c>
      <c r="F95" s="115">
        <v>350</v>
      </c>
      <c r="G95" s="113">
        <v>2450</v>
      </c>
      <c r="H95" s="113">
        <v>2000</v>
      </c>
      <c r="I95" s="113">
        <v>14000</v>
      </c>
      <c r="J95" s="49"/>
      <c r="K95" s="49"/>
    </row>
    <row r="96" spans="1:11" ht="29" x14ac:dyDescent="0.35">
      <c r="A96" s="145">
        <v>13</v>
      </c>
      <c r="B96" s="109" t="s">
        <v>819</v>
      </c>
      <c r="C96" s="110" t="s">
        <v>820</v>
      </c>
      <c r="D96" s="109" t="s">
        <v>8</v>
      </c>
      <c r="E96" s="111">
        <v>55</v>
      </c>
      <c r="F96" s="115">
        <v>50</v>
      </c>
      <c r="G96" s="113">
        <v>2750</v>
      </c>
      <c r="H96" s="115">
        <v>35</v>
      </c>
      <c r="I96" s="113">
        <v>1925</v>
      </c>
      <c r="J96" s="49"/>
      <c r="K96" s="49"/>
    </row>
    <row r="97" spans="1:11" ht="14.5" x14ac:dyDescent="0.35">
      <c r="A97" s="145">
        <v>14</v>
      </c>
      <c r="B97" s="109" t="s">
        <v>821</v>
      </c>
      <c r="C97" s="110" t="s">
        <v>822</v>
      </c>
      <c r="D97" s="109" t="s">
        <v>16</v>
      </c>
      <c r="E97" s="111">
        <v>5</v>
      </c>
      <c r="F97" s="115">
        <v>250</v>
      </c>
      <c r="G97" s="113">
        <v>1250</v>
      </c>
      <c r="H97" s="115">
        <v>800</v>
      </c>
      <c r="I97" s="113">
        <v>4000</v>
      </c>
      <c r="J97" s="49"/>
      <c r="K97" s="49"/>
    </row>
    <row r="98" spans="1:11" ht="14.5" x14ac:dyDescent="0.35">
      <c r="A98" s="145">
        <v>15</v>
      </c>
      <c r="B98" s="109" t="s">
        <v>823</v>
      </c>
      <c r="C98" s="110" t="s">
        <v>824</v>
      </c>
      <c r="D98" s="109" t="s">
        <v>3</v>
      </c>
      <c r="E98" s="111">
        <v>1</v>
      </c>
      <c r="F98" s="115">
        <v>500</v>
      </c>
      <c r="G98" s="115">
        <v>500</v>
      </c>
      <c r="H98" s="113">
        <v>2200</v>
      </c>
      <c r="I98" s="113">
        <v>2200</v>
      </c>
      <c r="J98" s="49"/>
      <c r="K98" s="49"/>
    </row>
    <row r="99" spans="1:11" ht="29" x14ac:dyDescent="0.35">
      <c r="A99" s="145">
        <v>16</v>
      </c>
      <c r="B99" s="109" t="s">
        <v>825</v>
      </c>
      <c r="C99" s="110" t="s">
        <v>826</v>
      </c>
      <c r="D99" s="109" t="s">
        <v>21</v>
      </c>
      <c r="E99" s="111">
        <v>72</v>
      </c>
      <c r="F99" s="115">
        <v>10</v>
      </c>
      <c r="G99" s="115">
        <v>720</v>
      </c>
      <c r="H99" s="115">
        <v>102</v>
      </c>
      <c r="I99" s="113">
        <v>7344</v>
      </c>
      <c r="J99" s="49"/>
      <c r="K99" s="49"/>
    </row>
    <row r="100" spans="1:11" ht="14.5" x14ac:dyDescent="0.35">
      <c r="A100" s="145">
        <v>17</v>
      </c>
      <c r="B100" s="109" t="s">
        <v>801</v>
      </c>
      <c r="C100" s="110" t="s">
        <v>802</v>
      </c>
      <c r="D100" s="109" t="s">
        <v>16</v>
      </c>
      <c r="E100" s="111">
        <v>1</v>
      </c>
      <c r="F100" s="115">
        <v>650</v>
      </c>
      <c r="G100" s="115">
        <v>650</v>
      </c>
      <c r="H100" s="113">
        <v>1500</v>
      </c>
      <c r="I100" s="113">
        <v>1500</v>
      </c>
      <c r="J100" s="49"/>
      <c r="K100" s="49"/>
    </row>
    <row r="101" spans="1:11" ht="29" x14ac:dyDescent="0.35">
      <c r="A101" s="145">
        <v>18</v>
      </c>
      <c r="B101" s="109" t="s">
        <v>827</v>
      </c>
      <c r="C101" s="110" t="s">
        <v>828</v>
      </c>
      <c r="D101" s="109" t="s">
        <v>16</v>
      </c>
      <c r="E101" s="111">
        <v>1</v>
      </c>
      <c r="F101" s="113">
        <v>1500</v>
      </c>
      <c r="G101" s="113">
        <v>1500</v>
      </c>
      <c r="H101" s="113">
        <v>3700</v>
      </c>
      <c r="I101" s="113">
        <v>3700</v>
      </c>
      <c r="J101" s="49"/>
      <c r="K101" s="49"/>
    </row>
    <row r="102" spans="1:11" ht="44" thickBot="1" x14ac:dyDescent="0.4">
      <c r="A102" s="145">
        <v>19</v>
      </c>
      <c r="B102" s="109" t="s">
        <v>829</v>
      </c>
      <c r="C102" s="110" t="s">
        <v>830</v>
      </c>
      <c r="D102" s="109" t="s">
        <v>3</v>
      </c>
      <c r="E102" s="111">
        <v>1</v>
      </c>
      <c r="F102" s="113">
        <v>1500</v>
      </c>
      <c r="G102" s="113">
        <v>1500</v>
      </c>
      <c r="H102" s="113">
        <v>4000</v>
      </c>
      <c r="I102" s="113">
        <v>4000</v>
      </c>
      <c r="J102" s="49"/>
      <c r="K102" s="49"/>
    </row>
    <row r="103" spans="1:11" ht="16" thickBot="1" x14ac:dyDescent="0.4">
      <c r="A103" s="108"/>
      <c r="B103" s="47"/>
      <c r="C103" s="117"/>
      <c r="D103" s="117"/>
      <c r="E103" s="48" t="s">
        <v>162</v>
      </c>
      <c r="F103" s="128"/>
      <c r="G103" s="126">
        <f>SUM(Table5[EXTENDED TOTAL])</f>
        <v>87110</v>
      </c>
      <c r="H103" s="126"/>
      <c r="I103" s="127">
        <f>SUM(Table5[EXTENDED TOTAL3])</f>
        <v>117589.45</v>
      </c>
      <c r="J103" s="49"/>
      <c r="K103" s="49"/>
    </row>
    <row r="104" spans="1:11" ht="16" thickBot="1" x14ac:dyDescent="0.4">
      <c r="A104" s="108"/>
      <c r="B104" s="121"/>
      <c r="C104" s="121"/>
      <c r="D104" s="121"/>
      <c r="E104" s="137"/>
      <c r="F104" s="124"/>
      <c r="G104" s="124"/>
      <c r="H104" s="124"/>
      <c r="I104" s="124"/>
      <c r="J104" s="49"/>
      <c r="K104" s="49"/>
    </row>
    <row r="105" spans="1:11" ht="15.5" x14ac:dyDescent="0.35">
      <c r="A105" s="108"/>
      <c r="C105" s="117"/>
      <c r="D105" s="117"/>
      <c r="E105" s="138" t="s">
        <v>96</v>
      </c>
      <c r="F105" s="129"/>
      <c r="G105" s="130">
        <f>SUM(Table3[EXTENDED TOTAL])</f>
        <v>706443</v>
      </c>
      <c r="H105" s="130"/>
      <c r="I105" s="131">
        <f>SUM(Table3[EXTENDED TOTAL3])</f>
        <v>998854.55</v>
      </c>
      <c r="J105" s="118"/>
      <c r="K105" s="49"/>
    </row>
    <row r="106" spans="1:11" ht="15.5" x14ac:dyDescent="0.35">
      <c r="A106" s="108"/>
      <c r="C106" s="117"/>
      <c r="D106" s="117"/>
      <c r="E106" s="139" t="s">
        <v>358</v>
      </c>
      <c r="F106" s="122"/>
      <c r="G106" s="123">
        <f>G105+G80</f>
        <v>796888</v>
      </c>
      <c r="H106" s="123"/>
      <c r="I106" s="132">
        <f>I105+I80</f>
        <v>1106041.9000000001</v>
      </c>
      <c r="J106" s="118"/>
      <c r="K106" s="49"/>
    </row>
    <row r="107" spans="1:11" ht="16" thickBot="1" x14ac:dyDescent="0.4">
      <c r="A107" s="108"/>
      <c r="C107" s="117"/>
      <c r="D107" s="117"/>
      <c r="E107" s="140" t="s">
        <v>359</v>
      </c>
      <c r="F107" s="133"/>
      <c r="G107" s="134">
        <f>G106+G103</f>
        <v>883998</v>
      </c>
      <c r="H107" s="134"/>
      <c r="I107" s="135">
        <f>I106+I103</f>
        <v>1223631.3500000001</v>
      </c>
      <c r="J107" s="118"/>
      <c r="K107" s="49"/>
    </row>
    <row r="108" spans="1:11" ht="14.5" x14ac:dyDescent="0.35">
      <c r="A108" s="108"/>
      <c r="B108" s="108"/>
      <c r="C108" s="108"/>
      <c r="D108" s="108"/>
      <c r="E108" s="108"/>
      <c r="F108" s="108"/>
      <c r="G108" s="108"/>
      <c r="H108" s="108"/>
      <c r="I108" s="108"/>
      <c r="J108" s="49"/>
      <c r="K108" s="49"/>
    </row>
    <row r="109" spans="1:11" ht="14.5" x14ac:dyDescent="0.35">
      <c r="A109" s="54"/>
      <c r="B109" s="54"/>
      <c r="C109" s="54"/>
      <c r="D109" s="54"/>
      <c r="E109" s="54"/>
      <c r="F109" s="54"/>
      <c r="G109" s="54"/>
      <c r="H109" s="54"/>
      <c r="I109" s="54"/>
      <c r="J109" s="49"/>
      <c r="K109" s="49"/>
    </row>
    <row r="110" spans="1:11" ht="14.5" x14ac:dyDescent="0.35">
      <c r="A110" s="46"/>
      <c r="B110" s="46"/>
      <c r="C110" s="46"/>
      <c r="D110" s="46"/>
      <c r="E110" s="46"/>
      <c r="F110" s="46"/>
      <c r="G110" s="46"/>
      <c r="H110" s="46"/>
      <c r="I110" s="46"/>
    </row>
    <row r="111" spans="1:11" ht="14.5" x14ac:dyDescent="0.35">
      <c r="A111" s="46"/>
      <c r="B111" s="46"/>
      <c r="C111" s="46"/>
      <c r="D111" s="46"/>
      <c r="E111" s="46"/>
      <c r="F111" s="46"/>
      <c r="G111" s="46"/>
      <c r="H111" s="46"/>
      <c r="I111" s="46"/>
    </row>
    <row r="112" spans="1:11" ht="14.5" x14ac:dyDescent="0.35">
      <c r="A112" s="46"/>
      <c r="B112" s="46"/>
      <c r="C112" s="46"/>
      <c r="D112" s="46"/>
      <c r="E112" s="46"/>
      <c r="F112" s="46"/>
      <c r="G112" s="46"/>
      <c r="H112" s="46"/>
      <c r="I112" s="46"/>
    </row>
    <row r="113" spans="1:9" ht="14.5" x14ac:dyDescent="0.35">
      <c r="A113" s="46"/>
      <c r="B113" s="46"/>
      <c r="C113" s="46"/>
      <c r="D113" s="46"/>
      <c r="E113" s="46"/>
      <c r="F113" s="46"/>
      <c r="G113" s="46"/>
      <c r="H113" s="46"/>
      <c r="I113" s="46"/>
    </row>
    <row r="114" spans="1:9" ht="14.5" x14ac:dyDescent="0.35">
      <c r="A114" s="46"/>
      <c r="B114" s="46"/>
      <c r="C114" s="46"/>
      <c r="D114" s="46"/>
      <c r="E114" s="46"/>
      <c r="F114" s="46"/>
      <c r="G114" s="46"/>
      <c r="H114" s="46"/>
      <c r="I114" s="46"/>
    </row>
  </sheetData>
  <mergeCells count="9">
    <mergeCell ref="A82:E82"/>
    <mergeCell ref="H82:I82"/>
    <mergeCell ref="F82:G82"/>
    <mergeCell ref="H63:I63"/>
    <mergeCell ref="F12:G12"/>
    <mergeCell ref="H12:I12"/>
    <mergeCell ref="A12:E12"/>
    <mergeCell ref="F63:G63"/>
    <mergeCell ref="A63:E63"/>
  </mergeCells>
  <pageMargins left="0.7" right="0.7" top="0.75" bottom="0.75" header="0.3" footer="0.3"/>
  <pageSetup orientation="portrait" verticalDpi="0" r:id="rId1"/>
  <drawing r:id="rId2"/>
  <tableParts count="3">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69C5-EB22-435D-8FCB-B151C1472750}">
  <dimension ref="A1:Y44"/>
  <sheetViews>
    <sheetView zoomScale="60" zoomScaleNormal="60" workbookViewId="0">
      <selection activeCell="B7" sqref="B7"/>
    </sheetView>
  </sheetViews>
  <sheetFormatPr defaultColWidth="9.1796875" defaultRowHeight="13" x14ac:dyDescent="0.35"/>
  <cols>
    <col min="1" max="1" width="20.81640625" style="148" bestFit="1" customWidth="1"/>
    <col min="2" max="2" width="44.81640625" style="148" bestFit="1" customWidth="1"/>
    <col min="3" max="3" width="36.7265625" style="148" customWidth="1"/>
    <col min="4" max="4" width="9.81640625" style="148" bestFit="1" customWidth="1"/>
    <col min="5" max="5" width="26.54296875" style="148" bestFit="1" customWidth="1"/>
    <col min="6" max="6" width="20.6328125" style="148" customWidth="1"/>
    <col min="7" max="7" width="22.1796875" style="148" bestFit="1" customWidth="1"/>
    <col min="8" max="8" width="16.453125" style="148" bestFit="1" customWidth="1"/>
    <col min="9" max="9" width="23.1796875" style="148" bestFit="1" customWidth="1"/>
    <col min="10" max="10" width="16.453125" style="148" bestFit="1" customWidth="1"/>
    <col min="11" max="11" width="23.1796875" style="148" bestFit="1" customWidth="1"/>
    <col min="12" max="12" width="14.81640625" style="148" bestFit="1" customWidth="1"/>
    <col min="13" max="14" width="13.453125" style="148" bestFit="1" customWidth="1"/>
    <col min="15" max="15" width="14.81640625" style="148" bestFit="1" customWidth="1"/>
    <col min="16" max="16" width="13.453125" style="148" bestFit="1" customWidth="1"/>
    <col min="17" max="17" width="16.81640625" style="148" bestFit="1" customWidth="1"/>
    <col min="18" max="18" width="16.26953125" style="148" bestFit="1" customWidth="1"/>
    <col min="19" max="20" width="14.453125" style="148" bestFit="1" customWidth="1"/>
    <col min="21" max="22" width="16.81640625" style="148" bestFit="1" customWidth="1"/>
    <col min="23" max="23" width="2.81640625" style="148" customWidth="1"/>
    <col min="24" max="16384" width="9.1796875" style="148"/>
  </cols>
  <sheetData>
    <row r="1" spans="1:25" ht="14.5" x14ac:dyDescent="0.35">
      <c r="A1" s="83"/>
      <c r="B1" s="83"/>
    </row>
    <row r="2" spans="1:25" ht="14.5" x14ac:dyDescent="0.35">
      <c r="A2" s="83"/>
      <c r="B2" s="83"/>
    </row>
    <row r="3" spans="1:25" ht="15.5" x14ac:dyDescent="0.35">
      <c r="A3" s="119" t="s">
        <v>65</v>
      </c>
      <c r="B3" s="83" t="s">
        <v>599</v>
      </c>
    </row>
    <row r="4" spans="1:25" ht="15.5" x14ac:dyDescent="0.35">
      <c r="A4" s="119" t="s">
        <v>67</v>
      </c>
      <c r="B4" s="83" t="str">
        <f>VLOOKUP(B3,DATA!$A$2:$E$80,3)</f>
        <v>Jacksboro</v>
      </c>
    </row>
    <row r="5" spans="1:25" ht="15.5" x14ac:dyDescent="0.35">
      <c r="A5" s="119" t="s">
        <v>69</v>
      </c>
      <c r="B5" s="83" t="str">
        <f>VLOOKUP(B3,DATA!$A$2:$E$80,4)</f>
        <v>Campbell County</v>
      </c>
    </row>
    <row r="6" spans="1:25" ht="15.5" x14ac:dyDescent="0.35">
      <c r="A6" s="119" t="s">
        <v>70</v>
      </c>
      <c r="B6" s="83" t="s">
        <v>1050</v>
      </c>
    </row>
    <row r="7" spans="1:25" ht="15.5" x14ac:dyDescent="0.35">
      <c r="A7" s="119" t="s">
        <v>71</v>
      </c>
      <c r="B7" s="83" t="s">
        <v>1051</v>
      </c>
    </row>
    <row r="8" spans="1:25" ht="15.5" x14ac:dyDescent="0.35">
      <c r="A8" s="119" t="s">
        <v>72</v>
      </c>
      <c r="B8" s="120">
        <v>44699</v>
      </c>
    </row>
    <row r="9" spans="1:25" ht="15.5" x14ac:dyDescent="0.35">
      <c r="A9" s="119" t="s">
        <v>66</v>
      </c>
      <c r="B9" s="83" t="str">
        <f>VLOOKUP(B3,DATA!$A$2:$E$80,2)</f>
        <v>Campbell</v>
      </c>
    </row>
    <row r="10" spans="1:25" ht="15.5" x14ac:dyDescent="0.35">
      <c r="A10" s="119" t="s">
        <v>68</v>
      </c>
      <c r="B10" s="83" t="str">
        <f>VLOOKUP(B3,DATA!$A$2:$E$80,5)</f>
        <v>East</v>
      </c>
    </row>
    <row r="12" spans="1:25" ht="15" thickBot="1" x14ac:dyDescent="0.4">
      <c r="A12" s="163"/>
      <c r="B12" s="150"/>
      <c r="C12" s="150"/>
      <c r="D12" s="150"/>
      <c r="E12" s="150"/>
      <c r="F12" s="150"/>
      <c r="G12" s="150"/>
      <c r="H12" s="150"/>
      <c r="I12" s="150"/>
      <c r="J12" s="150"/>
      <c r="K12" s="150"/>
      <c r="L12" s="150"/>
      <c r="M12" s="150"/>
      <c r="N12" s="150"/>
      <c r="O12" s="150"/>
      <c r="P12" s="150"/>
      <c r="Q12" s="150"/>
      <c r="R12" s="150"/>
      <c r="S12" s="150"/>
      <c r="T12" s="150"/>
      <c r="U12" s="150"/>
      <c r="V12" s="150"/>
      <c r="W12" s="150"/>
      <c r="X12" s="149"/>
      <c r="Y12" s="149"/>
    </row>
    <row r="13" spans="1:25" ht="16" thickBot="1" x14ac:dyDescent="0.4">
      <c r="A13" s="273" t="s">
        <v>1052</v>
      </c>
      <c r="B13" s="274"/>
      <c r="C13" s="274"/>
      <c r="D13" s="274"/>
      <c r="E13" s="275"/>
      <c r="F13" s="276" t="s">
        <v>75</v>
      </c>
      <c r="G13" s="277"/>
      <c r="H13" s="276" t="s">
        <v>1053</v>
      </c>
      <c r="I13" s="277"/>
      <c r="J13" s="276" t="s">
        <v>1054</v>
      </c>
      <c r="K13" s="277"/>
      <c r="L13" s="150"/>
      <c r="M13" s="150"/>
      <c r="N13" s="278"/>
      <c r="O13" s="279"/>
      <c r="P13" s="279"/>
      <c r="Q13" s="279"/>
      <c r="R13" s="279"/>
      <c r="S13" s="280"/>
      <c r="T13" s="281"/>
      <c r="U13" s="281"/>
      <c r="V13" s="281"/>
      <c r="W13" s="149"/>
      <c r="X13" s="149"/>
      <c r="Y13" s="149"/>
    </row>
    <row r="14" spans="1:25" ht="15.5" x14ac:dyDescent="0.35">
      <c r="A14" s="180" t="s">
        <v>62</v>
      </c>
      <c r="B14" s="180" t="s">
        <v>98</v>
      </c>
      <c r="C14" s="180" t="s">
        <v>0</v>
      </c>
      <c r="D14" s="180" t="s">
        <v>1</v>
      </c>
      <c r="E14" s="180" t="s">
        <v>64</v>
      </c>
      <c r="F14" s="180" t="s">
        <v>262</v>
      </c>
      <c r="G14" s="180" t="s">
        <v>94</v>
      </c>
      <c r="H14" s="180" t="s">
        <v>355</v>
      </c>
      <c r="I14" s="180" t="s">
        <v>95</v>
      </c>
      <c r="J14" s="180" t="s">
        <v>458</v>
      </c>
      <c r="K14" s="180" t="s">
        <v>357</v>
      </c>
      <c r="L14" s="149"/>
      <c r="M14" s="149"/>
      <c r="N14" s="149"/>
    </row>
    <row r="15" spans="1:25" ht="14.5" x14ac:dyDescent="0.35">
      <c r="A15" s="151">
        <v>1</v>
      </c>
      <c r="B15" s="218" t="s">
        <v>1055</v>
      </c>
      <c r="C15" s="217" t="s">
        <v>364</v>
      </c>
      <c r="D15" s="218" t="s">
        <v>3</v>
      </c>
      <c r="E15" s="151">
        <v>1</v>
      </c>
      <c r="F15" s="231">
        <v>1250</v>
      </c>
      <c r="G15" s="231">
        <f t="shared" ref="G15:G40" si="0">SUM(E15*F15)</f>
        <v>1250</v>
      </c>
      <c r="H15" s="153">
        <v>4200</v>
      </c>
      <c r="I15" s="153">
        <f t="shared" ref="I15:I40" si="1">SUM(E15*H15)</f>
        <v>4200</v>
      </c>
      <c r="J15" s="153">
        <v>5000</v>
      </c>
      <c r="K15" s="153">
        <f t="shared" ref="K15:K40" si="2">SUM(E15*J15)</f>
        <v>5000</v>
      </c>
      <c r="L15" s="149"/>
      <c r="M15" s="149"/>
      <c r="N15" s="149"/>
    </row>
    <row r="16" spans="1:25" ht="14.5" x14ac:dyDescent="0.35">
      <c r="A16" s="151">
        <v>2</v>
      </c>
      <c r="B16" s="218" t="s">
        <v>266</v>
      </c>
      <c r="C16" s="217" t="s">
        <v>1065</v>
      </c>
      <c r="D16" s="218" t="s">
        <v>21</v>
      </c>
      <c r="E16" s="151">
        <v>400</v>
      </c>
      <c r="F16" s="231">
        <v>5</v>
      </c>
      <c r="G16" s="231">
        <f t="shared" si="0"/>
        <v>2000</v>
      </c>
      <c r="H16" s="154">
        <v>15</v>
      </c>
      <c r="I16" s="153">
        <f t="shared" si="1"/>
        <v>6000</v>
      </c>
      <c r="J16" s="154">
        <v>10</v>
      </c>
      <c r="K16" s="153">
        <f t="shared" si="2"/>
        <v>4000</v>
      </c>
      <c r="L16" s="149"/>
      <c r="M16" s="149"/>
      <c r="N16" s="149"/>
    </row>
    <row r="17" spans="1:14" ht="14.5" x14ac:dyDescent="0.35">
      <c r="A17" s="151">
        <v>3</v>
      </c>
      <c r="B17" s="218" t="s">
        <v>917</v>
      </c>
      <c r="C17" s="217" t="s">
        <v>1066</v>
      </c>
      <c r="D17" s="218" t="s">
        <v>16</v>
      </c>
      <c r="E17" s="151">
        <v>1</v>
      </c>
      <c r="F17" s="231">
        <v>1000</v>
      </c>
      <c r="G17" s="231">
        <f t="shared" si="0"/>
        <v>1000</v>
      </c>
      <c r="H17" s="153">
        <v>2000</v>
      </c>
      <c r="I17" s="153">
        <f t="shared" si="1"/>
        <v>2000</v>
      </c>
      <c r="J17" s="154">
        <v>2000</v>
      </c>
      <c r="K17" s="153">
        <f t="shared" si="2"/>
        <v>2000</v>
      </c>
      <c r="L17" s="149"/>
      <c r="M17" s="149"/>
      <c r="N17" s="149"/>
    </row>
    <row r="18" spans="1:14" ht="14.5" x14ac:dyDescent="0.35">
      <c r="A18" s="151">
        <v>4</v>
      </c>
      <c r="B18" s="218" t="s">
        <v>28</v>
      </c>
      <c r="C18" s="217" t="s">
        <v>1067</v>
      </c>
      <c r="D18" s="218" t="s">
        <v>3</v>
      </c>
      <c r="E18" s="151">
        <v>1</v>
      </c>
      <c r="F18" s="231">
        <v>5000</v>
      </c>
      <c r="G18" s="231">
        <f t="shared" si="0"/>
        <v>5000</v>
      </c>
      <c r="H18" s="153">
        <v>8000</v>
      </c>
      <c r="I18" s="153">
        <f t="shared" si="1"/>
        <v>8000</v>
      </c>
      <c r="J18" s="154">
        <v>17500</v>
      </c>
      <c r="K18" s="153">
        <f t="shared" si="2"/>
        <v>17500</v>
      </c>
      <c r="L18" s="149"/>
      <c r="M18" s="149"/>
      <c r="N18" s="149"/>
    </row>
    <row r="19" spans="1:14" ht="14.5" x14ac:dyDescent="0.35">
      <c r="A19" s="151">
        <v>5</v>
      </c>
      <c r="B19" s="218" t="s">
        <v>1056</v>
      </c>
      <c r="C19" s="217" t="s">
        <v>368</v>
      </c>
      <c r="D19" s="218" t="s">
        <v>3</v>
      </c>
      <c r="E19" s="151">
        <v>1</v>
      </c>
      <c r="F19" s="231">
        <v>9500</v>
      </c>
      <c r="G19" s="231">
        <f t="shared" si="0"/>
        <v>9500</v>
      </c>
      <c r="H19" s="154">
        <v>8000</v>
      </c>
      <c r="I19" s="153">
        <f t="shared" si="1"/>
        <v>8000</v>
      </c>
      <c r="J19" s="154">
        <v>15000</v>
      </c>
      <c r="K19" s="153">
        <f t="shared" si="2"/>
        <v>15000</v>
      </c>
      <c r="L19" s="149"/>
      <c r="M19" s="149"/>
      <c r="N19" s="149"/>
    </row>
    <row r="20" spans="1:14" ht="14.5" x14ac:dyDescent="0.35">
      <c r="A20" s="151">
        <v>6</v>
      </c>
      <c r="B20" s="218" t="s">
        <v>1057</v>
      </c>
      <c r="C20" s="217" t="s">
        <v>370</v>
      </c>
      <c r="D20" s="218" t="s">
        <v>3</v>
      </c>
      <c r="E20" s="151">
        <v>1</v>
      </c>
      <c r="F20" s="231">
        <v>2400</v>
      </c>
      <c r="G20" s="231">
        <f t="shared" si="0"/>
        <v>2400</v>
      </c>
      <c r="H20" s="153">
        <v>4000</v>
      </c>
      <c r="I20" s="153">
        <f t="shared" si="1"/>
        <v>4000</v>
      </c>
      <c r="J20" s="153">
        <v>8000</v>
      </c>
      <c r="K20" s="153">
        <f t="shared" si="2"/>
        <v>8000</v>
      </c>
      <c r="L20" s="149"/>
      <c r="M20" s="149"/>
      <c r="N20" s="149"/>
    </row>
    <row r="21" spans="1:14" ht="14.5" x14ac:dyDescent="0.35">
      <c r="A21" s="151">
        <v>7</v>
      </c>
      <c r="B21" s="218" t="s">
        <v>1058</v>
      </c>
      <c r="C21" s="217" t="s">
        <v>372</v>
      </c>
      <c r="D21" s="218" t="s">
        <v>3</v>
      </c>
      <c r="E21" s="151">
        <v>1</v>
      </c>
      <c r="F21" s="231">
        <v>2500</v>
      </c>
      <c r="G21" s="231">
        <f t="shared" si="0"/>
        <v>2500</v>
      </c>
      <c r="H21" s="153">
        <v>6000</v>
      </c>
      <c r="I21" s="153">
        <f t="shared" si="1"/>
        <v>6000</v>
      </c>
      <c r="J21" s="153">
        <v>5000</v>
      </c>
      <c r="K21" s="153">
        <f t="shared" si="2"/>
        <v>5000</v>
      </c>
      <c r="L21" s="149"/>
      <c r="M21" s="149"/>
      <c r="N21" s="149"/>
    </row>
    <row r="22" spans="1:14" ht="14.5" x14ac:dyDescent="0.35">
      <c r="A22" s="151">
        <v>8</v>
      </c>
      <c r="B22" s="218" t="s">
        <v>1059</v>
      </c>
      <c r="C22" s="217" t="s">
        <v>1068</v>
      </c>
      <c r="D22" s="218" t="s">
        <v>3</v>
      </c>
      <c r="E22" s="151">
        <v>1</v>
      </c>
      <c r="F22" s="231">
        <v>950</v>
      </c>
      <c r="G22" s="231">
        <f t="shared" si="0"/>
        <v>950</v>
      </c>
      <c r="H22" s="153">
        <v>1000</v>
      </c>
      <c r="I22" s="153">
        <f t="shared" si="1"/>
        <v>1000</v>
      </c>
      <c r="J22" s="153">
        <v>10000</v>
      </c>
      <c r="K22" s="153">
        <f t="shared" si="2"/>
        <v>10000</v>
      </c>
      <c r="L22" s="149"/>
      <c r="M22" s="149"/>
      <c r="N22" s="149"/>
    </row>
    <row r="23" spans="1:14" ht="14.5" x14ac:dyDescent="0.35">
      <c r="A23" s="151">
        <v>9</v>
      </c>
      <c r="B23" s="218" t="s">
        <v>1060</v>
      </c>
      <c r="C23" s="217" t="s">
        <v>1069</v>
      </c>
      <c r="D23" s="218" t="s">
        <v>3</v>
      </c>
      <c r="E23" s="151">
        <v>1</v>
      </c>
      <c r="F23" s="231">
        <v>1000</v>
      </c>
      <c r="G23" s="231">
        <f t="shared" si="0"/>
        <v>1000</v>
      </c>
      <c r="H23" s="153">
        <v>2000</v>
      </c>
      <c r="I23" s="153">
        <f t="shared" si="1"/>
        <v>2000</v>
      </c>
      <c r="J23" s="153">
        <v>2000</v>
      </c>
      <c r="K23" s="153">
        <f t="shared" si="2"/>
        <v>2000</v>
      </c>
      <c r="L23" s="149"/>
      <c r="M23" s="149"/>
      <c r="N23" s="149"/>
    </row>
    <row r="24" spans="1:14" ht="29" x14ac:dyDescent="0.35">
      <c r="A24" s="151">
        <v>10</v>
      </c>
      <c r="B24" s="218" t="s">
        <v>376</v>
      </c>
      <c r="C24" s="217" t="s">
        <v>1070</v>
      </c>
      <c r="D24" s="218" t="s">
        <v>21</v>
      </c>
      <c r="E24" s="151">
        <v>288</v>
      </c>
      <c r="F24" s="231">
        <v>15</v>
      </c>
      <c r="G24" s="231">
        <f t="shared" si="0"/>
        <v>4320</v>
      </c>
      <c r="H24" s="153">
        <v>16.8</v>
      </c>
      <c r="I24" s="153">
        <f t="shared" si="1"/>
        <v>4838.4000000000005</v>
      </c>
      <c r="J24" s="153">
        <v>3.5</v>
      </c>
      <c r="K24" s="153">
        <f t="shared" si="2"/>
        <v>1008</v>
      </c>
      <c r="L24" s="149"/>
      <c r="M24" s="149"/>
      <c r="N24" s="149"/>
    </row>
    <row r="25" spans="1:14" ht="14.5" x14ac:dyDescent="0.35">
      <c r="A25" s="151">
        <v>11</v>
      </c>
      <c r="B25" s="218" t="s">
        <v>276</v>
      </c>
      <c r="C25" s="217" t="s">
        <v>1071</v>
      </c>
      <c r="D25" s="218" t="s">
        <v>3</v>
      </c>
      <c r="E25" s="151">
        <v>1</v>
      </c>
      <c r="F25" s="231">
        <v>500</v>
      </c>
      <c r="G25" s="231">
        <f t="shared" si="0"/>
        <v>500</v>
      </c>
      <c r="H25" s="153">
        <v>1000</v>
      </c>
      <c r="I25" s="153">
        <f t="shared" si="1"/>
        <v>1000</v>
      </c>
      <c r="J25" s="153">
        <v>1500</v>
      </c>
      <c r="K25" s="153">
        <f t="shared" si="2"/>
        <v>1500</v>
      </c>
      <c r="L25" s="149"/>
      <c r="M25" s="149"/>
      <c r="N25" s="149"/>
    </row>
    <row r="26" spans="1:14" ht="14.5" x14ac:dyDescent="0.35">
      <c r="A26" s="151">
        <v>12</v>
      </c>
      <c r="B26" s="218" t="s">
        <v>46</v>
      </c>
      <c r="C26" s="217" t="s">
        <v>1072</v>
      </c>
      <c r="D26" s="218" t="s">
        <v>11</v>
      </c>
      <c r="E26" s="151">
        <v>1500</v>
      </c>
      <c r="F26" s="231">
        <v>21</v>
      </c>
      <c r="G26" s="231">
        <f t="shared" si="0"/>
        <v>31500</v>
      </c>
      <c r="H26" s="154">
        <v>25</v>
      </c>
      <c r="I26" s="153">
        <f t="shared" si="1"/>
        <v>37500</v>
      </c>
      <c r="J26" s="154">
        <v>35</v>
      </c>
      <c r="K26" s="153">
        <f t="shared" si="2"/>
        <v>52500</v>
      </c>
      <c r="L26" s="149"/>
      <c r="M26" s="149"/>
      <c r="N26" s="149"/>
    </row>
    <row r="27" spans="1:14" ht="14.5" x14ac:dyDescent="0.35">
      <c r="A27" s="151">
        <v>13</v>
      </c>
      <c r="B27" s="218" t="s">
        <v>47</v>
      </c>
      <c r="C27" s="217" t="s">
        <v>1073</v>
      </c>
      <c r="D27" s="218" t="s">
        <v>11</v>
      </c>
      <c r="E27" s="151">
        <v>50</v>
      </c>
      <c r="F27" s="231">
        <v>32</v>
      </c>
      <c r="G27" s="231">
        <f t="shared" si="0"/>
        <v>1600</v>
      </c>
      <c r="H27" s="154">
        <v>20</v>
      </c>
      <c r="I27" s="153">
        <f t="shared" si="1"/>
        <v>1000</v>
      </c>
      <c r="J27" s="154">
        <v>100</v>
      </c>
      <c r="K27" s="153">
        <f t="shared" si="2"/>
        <v>5000</v>
      </c>
      <c r="L27" s="149"/>
      <c r="M27" s="149"/>
      <c r="N27" s="149"/>
    </row>
    <row r="28" spans="1:14" ht="14.5" x14ac:dyDescent="0.35">
      <c r="A28" s="151">
        <v>14</v>
      </c>
      <c r="B28" s="218" t="s">
        <v>762</v>
      </c>
      <c r="C28" s="217" t="s">
        <v>1074</v>
      </c>
      <c r="D28" s="218" t="s">
        <v>11</v>
      </c>
      <c r="E28" s="151">
        <v>370</v>
      </c>
      <c r="F28" s="231">
        <v>7</v>
      </c>
      <c r="G28" s="231">
        <f t="shared" si="0"/>
        <v>2590</v>
      </c>
      <c r="H28" s="154">
        <v>3</v>
      </c>
      <c r="I28" s="153">
        <f t="shared" si="1"/>
        <v>1110</v>
      </c>
      <c r="J28" s="154">
        <v>17</v>
      </c>
      <c r="K28" s="153">
        <f t="shared" si="2"/>
        <v>6290</v>
      </c>
      <c r="L28" s="149"/>
      <c r="M28" s="149"/>
      <c r="N28" s="149"/>
    </row>
    <row r="29" spans="1:14" ht="14.5" x14ac:dyDescent="0.35">
      <c r="A29" s="151">
        <v>15</v>
      </c>
      <c r="B29" s="218" t="s">
        <v>793</v>
      </c>
      <c r="C29" s="217" t="s">
        <v>1075</v>
      </c>
      <c r="D29" s="218" t="s">
        <v>21</v>
      </c>
      <c r="E29" s="151">
        <v>220</v>
      </c>
      <c r="F29" s="231">
        <v>16</v>
      </c>
      <c r="G29" s="231">
        <f t="shared" si="0"/>
        <v>3520</v>
      </c>
      <c r="H29" s="154">
        <v>20</v>
      </c>
      <c r="I29" s="153">
        <f t="shared" si="1"/>
        <v>4400</v>
      </c>
      <c r="J29" s="154">
        <v>10</v>
      </c>
      <c r="K29" s="153">
        <f t="shared" si="2"/>
        <v>2200</v>
      </c>
      <c r="L29" s="149"/>
      <c r="M29" s="149"/>
      <c r="N29" s="149"/>
    </row>
    <row r="30" spans="1:14" ht="14.5" x14ac:dyDescent="0.35">
      <c r="A30" s="151">
        <v>16</v>
      </c>
      <c r="B30" s="218" t="s">
        <v>795</v>
      </c>
      <c r="C30" s="217" t="s">
        <v>1076</v>
      </c>
      <c r="D30" s="218" t="s">
        <v>21</v>
      </c>
      <c r="E30" s="151">
        <v>110</v>
      </c>
      <c r="F30" s="231">
        <v>30</v>
      </c>
      <c r="G30" s="231">
        <f t="shared" si="0"/>
        <v>3300</v>
      </c>
      <c r="H30" s="154">
        <v>41</v>
      </c>
      <c r="I30" s="153">
        <f t="shared" si="1"/>
        <v>4510</v>
      </c>
      <c r="J30" s="154">
        <v>20</v>
      </c>
      <c r="K30" s="153">
        <f t="shared" si="2"/>
        <v>2200</v>
      </c>
      <c r="L30" s="149"/>
      <c r="M30" s="149"/>
      <c r="N30" s="149"/>
    </row>
    <row r="31" spans="1:14" ht="29" x14ac:dyDescent="0.35">
      <c r="A31" s="151">
        <v>17</v>
      </c>
      <c r="B31" s="218" t="s">
        <v>825</v>
      </c>
      <c r="C31" s="217" t="s">
        <v>1077</v>
      </c>
      <c r="D31" s="218" t="s">
        <v>16</v>
      </c>
      <c r="E31" s="151">
        <v>1</v>
      </c>
      <c r="F31" s="231">
        <v>3600</v>
      </c>
      <c r="G31" s="231">
        <f t="shared" si="0"/>
        <v>3600</v>
      </c>
      <c r="H31" s="154">
        <v>2000</v>
      </c>
      <c r="I31" s="153">
        <f t="shared" si="1"/>
        <v>2000</v>
      </c>
      <c r="J31" s="154">
        <v>5000</v>
      </c>
      <c r="K31" s="153">
        <f t="shared" si="2"/>
        <v>5000</v>
      </c>
      <c r="L31" s="149"/>
      <c r="M31" s="149"/>
      <c r="N31" s="149"/>
    </row>
    <row r="32" spans="1:14" ht="14.5" x14ac:dyDescent="0.35">
      <c r="A32" s="151">
        <v>18</v>
      </c>
      <c r="B32" s="218" t="s">
        <v>345</v>
      </c>
      <c r="C32" s="217" t="s">
        <v>1078</v>
      </c>
      <c r="D32" s="218" t="s">
        <v>3</v>
      </c>
      <c r="E32" s="151">
        <v>1</v>
      </c>
      <c r="F32" s="231">
        <v>10000</v>
      </c>
      <c r="G32" s="231">
        <f t="shared" si="0"/>
        <v>10000</v>
      </c>
      <c r="H32" s="154">
        <v>4000</v>
      </c>
      <c r="I32" s="154">
        <f t="shared" si="1"/>
        <v>4000</v>
      </c>
      <c r="J32" s="154">
        <v>6000</v>
      </c>
      <c r="K32" s="154">
        <f t="shared" si="2"/>
        <v>6000</v>
      </c>
      <c r="L32" s="149"/>
      <c r="M32" s="149"/>
      <c r="N32" s="149"/>
    </row>
    <row r="33" spans="1:25" ht="14.5" x14ac:dyDescent="0.35">
      <c r="A33" s="151">
        <v>19</v>
      </c>
      <c r="B33" s="218" t="s">
        <v>936</v>
      </c>
      <c r="C33" s="217" t="s">
        <v>1079</v>
      </c>
      <c r="D33" s="218" t="s">
        <v>21</v>
      </c>
      <c r="E33" s="151">
        <v>35</v>
      </c>
      <c r="F33" s="231">
        <v>50</v>
      </c>
      <c r="G33" s="231">
        <f t="shared" si="0"/>
        <v>1750</v>
      </c>
      <c r="H33" s="153">
        <v>124</v>
      </c>
      <c r="I33" s="153">
        <f t="shared" si="1"/>
        <v>4340</v>
      </c>
      <c r="J33" s="153">
        <v>70</v>
      </c>
      <c r="K33" s="153">
        <f t="shared" si="2"/>
        <v>2450</v>
      </c>
      <c r="L33" s="149"/>
      <c r="M33" s="149"/>
      <c r="N33" s="149"/>
    </row>
    <row r="34" spans="1:25" ht="14.5" x14ac:dyDescent="0.35">
      <c r="A34" s="151">
        <v>20</v>
      </c>
      <c r="B34" s="218" t="s">
        <v>937</v>
      </c>
      <c r="C34" s="217" t="s">
        <v>1080</v>
      </c>
      <c r="D34" s="218" t="s">
        <v>21</v>
      </c>
      <c r="E34" s="151">
        <v>172</v>
      </c>
      <c r="F34" s="231">
        <v>75</v>
      </c>
      <c r="G34" s="231">
        <f t="shared" si="0"/>
        <v>12900</v>
      </c>
      <c r="H34" s="153">
        <v>106</v>
      </c>
      <c r="I34" s="153">
        <f t="shared" si="1"/>
        <v>18232</v>
      </c>
      <c r="J34" s="153">
        <v>70</v>
      </c>
      <c r="K34" s="153">
        <f t="shared" si="2"/>
        <v>12040</v>
      </c>
      <c r="L34" s="149"/>
      <c r="M34" s="149"/>
      <c r="N34" s="149"/>
    </row>
    <row r="35" spans="1:25" ht="14.5" x14ac:dyDescent="0.35">
      <c r="A35" s="151">
        <v>21</v>
      </c>
      <c r="B35" s="218" t="s">
        <v>939</v>
      </c>
      <c r="C35" s="217" t="s">
        <v>1081</v>
      </c>
      <c r="D35" s="218" t="s">
        <v>16</v>
      </c>
      <c r="E35" s="151">
        <v>2</v>
      </c>
      <c r="F35" s="231">
        <v>3500</v>
      </c>
      <c r="G35" s="231">
        <f t="shared" si="0"/>
        <v>7000</v>
      </c>
      <c r="H35" s="153">
        <v>9900</v>
      </c>
      <c r="I35" s="153">
        <f t="shared" si="1"/>
        <v>19800</v>
      </c>
      <c r="J35" s="153">
        <v>15000</v>
      </c>
      <c r="K35" s="153">
        <f t="shared" si="2"/>
        <v>30000</v>
      </c>
      <c r="L35" s="149"/>
      <c r="M35" s="149"/>
      <c r="N35" s="149"/>
    </row>
    <row r="36" spans="1:25" ht="14.5" x14ac:dyDescent="0.35">
      <c r="A36" s="151">
        <v>22</v>
      </c>
      <c r="B36" s="218" t="s">
        <v>1061</v>
      </c>
      <c r="C36" s="217" t="s">
        <v>1082</v>
      </c>
      <c r="D36" s="218" t="s">
        <v>16</v>
      </c>
      <c r="E36" s="151">
        <v>1</v>
      </c>
      <c r="F36" s="231">
        <v>5000</v>
      </c>
      <c r="G36" s="231">
        <f t="shared" si="0"/>
        <v>5000</v>
      </c>
      <c r="H36" s="154">
        <v>9900</v>
      </c>
      <c r="I36" s="153">
        <f t="shared" si="1"/>
        <v>9900</v>
      </c>
      <c r="J36" s="154">
        <v>3000</v>
      </c>
      <c r="K36" s="153">
        <f t="shared" si="2"/>
        <v>3000</v>
      </c>
      <c r="L36" s="149"/>
      <c r="M36" s="149"/>
      <c r="N36" s="149"/>
    </row>
    <row r="37" spans="1:25" ht="14.5" x14ac:dyDescent="0.35">
      <c r="A37" s="151">
        <v>23</v>
      </c>
      <c r="B37" s="218" t="s">
        <v>347</v>
      </c>
      <c r="C37" s="157" t="s">
        <v>1086</v>
      </c>
      <c r="D37" s="218" t="s">
        <v>16</v>
      </c>
      <c r="E37" s="151">
        <v>1</v>
      </c>
      <c r="F37" s="231">
        <v>3000</v>
      </c>
      <c r="G37" s="231">
        <f t="shared" si="0"/>
        <v>3000</v>
      </c>
      <c r="H37" s="153">
        <v>2750</v>
      </c>
      <c r="I37" s="153">
        <f t="shared" si="1"/>
        <v>2750</v>
      </c>
      <c r="J37" s="153">
        <v>2000</v>
      </c>
      <c r="K37" s="153">
        <f t="shared" si="2"/>
        <v>2000</v>
      </c>
      <c r="L37" s="149"/>
      <c r="M37" s="149"/>
      <c r="N37" s="149"/>
    </row>
    <row r="38" spans="1:25" ht="14.5" x14ac:dyDescent="0.35">
      <c r="A38" s="151">
        <v>24</v>
      </c>
      <c r="B38" s="218" t="s">
        <v>1062</v>
      </c>
      <c r="C38" s="217" t="s">
        <v>1083</v>
      </c>
      <c r="D38" s="218" t="s">
        <v>6</v>
      </c>
      <c r="E38" s="230">
        <v>0.5</v>
      </c>
      <c r="F38" s="231">
        <v>8000</v>
      </c>
      <c r="G38" s="231">
        <f t="shared" si="0"/>
        <v>4000</v>
      </c>
      <c r="H38" s="153">
        <v>12000</v>
      </c>
      <c r="I38" s="153">
        <f t="shared" si="1"/>
        <v>6000</v>
      </c>
      <c r="J38" s="153">
        <v>10000</v>
      </c>
      <c r="K38" s="153">
        <f t="shared" si="2"/>
        <v>5000</v>
      </c>
      <c r="L38" s="149"/>
      <c r="M38" s="149"/>
      <c r="N38" s="149"/>
    </row>
    <row r="39" spans="1:25" ht="14.5" x14ac:dyDescent="0.35">
      <c r="A39" s="151">
        <v>25</v>
      </c>
      <c r="B39" s="218" t="s">
        <v>1063</v>
      </c>
      <c r="C39" s="217" t="s">
        <v>1084</v>
      </c>
      <c r="D39" s="218" t="s">
        <v>11</v>
      </c>
      <c r="E39" s="151">
        <v>370</v>
      </c>
      <c r="F39" s="231">
        <v>12</v>
      </c>
      <c r="G39" s="231">
        <f t="shared" si="0"/>
        <v>4440</v>
      </c>
      <c r="H39" s="153">
        <v>3</v>
      </c>
      <c r="I39" s="153">
        <f t="shared" si="1"/>
        <v>1110</v>
      </c>
      <c r="J39" s="153">
        <v>8</v>
      </c>
      <c r="K39" s="153">
        <f t="shared" si="2"/>
        <v>2960</v>
      </c>
      <c r="L39" s="149"/>
      <c r="M39" s="149"/>
      <c r="N39" s="149"/>
    </row>
    <row r="40" spans="1:25" ht="15" thickBot="1" x14ac:dyDescent="0.4">
      <c r="A40" s="151">
        <v>26</v>
      </c>
      <c r="B40" s="218" t="s">
        <v>1064</v>
      </c>
      <c r="C40" s="217" t="s">
        <v>1085</v>
      </c>
      <c r="D40" s="218" t="s">
        <v>11</v>
      </c>
      <c r="E40" s="151">
        <v>200</v>
      </c>
      <c r="F40" s="231">
        <v>30</v>
      </c>
      <c r="G40" s="231">
        <f t="shared" si="0"/>
        <v>6000</v>
      </c>
      <c r="H40" s="153">
        <v>30</v>
      </c>
      <c r="I40" s="153">
        <f t="shared" si="1"/>
        <v>6000</v>
      </c>
      <c r="J40" s="153">
        <v>60</v>
      </c>
      <c r="K40" s="153">
        <f t="shared" si="2"/>
        <v>12000</v>
      </c>
      <c r="L40" s="149"/>
      <c r="M40" s="149"/>
      <c r="N40" s="149"/>
    </row>
    <row r="41" spans="1:25" ht="16" thickBot="1" x14ac:dyDescent="0.4">
      <c r="A41" s="173"/>
      <c r="B41" s="174"/>
      <c r="C41" s="175"/>
      <c r="D41" s="173"/>
      <c r="E41" s="293" t="s">
        <v>1088</v>
      </c>
      <c r="F41" s="294"/>
      <c r="G41" s="295">
        <f>SUBTOTAL(109,Table1036[EXTENDED TOTAL])</f>
        <v>130620</v>
      </c>
      <c r="H41" s="166"/>
      <c r="I41" s="181">
        <f>SUM(I15:I40)</f>
        <v>169690.4</v>
      </c>
      <c r="J41" s="162"/>
      <c r="K41" s="167">
        <f>SUM(K15:K40)</f>
        <v>219648</v>
      </c>
      <c r="L41" s="159"/>
      <c r="M41" s="159"/>
      <c r="N41" s="152"/>
      <c r="O41" s="152"/>
      <c r="P41" s="152"/>
      <c r="Q41" s="152"/>
      <c r="R41" s="152"/>
      <c r="S41" s="152"/>
      <c r="T41" s="152"/>
      <c r="U41" s="152"/>
      <c r="V41" s="152"/>
      <c r="W41" s="152"/>
      <c r="X41" s="149"/>
      <c r="Y41" s="149"/>
    </row>
    <row r="42" spans="1:25" ht="23.5" customHeight="1" thickBot="1" x14ac:dyDescent="0.4">
      <c r="E42" s="296" t="s">
        <v>1087</v>
      </c>
      <c r="F42" s="297"/>
      <c r="G42" s="298">
        <f>SUM(G41*15%)</f>
        <v>19593</v>
      </c>
    </row>
    <row r="44" spans="1:25" ht="25.5" customHeight="1" x14ac:dyDescent="0.35">
      <c r="D44" s="282" t="s">
        <v>1089</v>
      </c>
      <c r="E44" s="283"/>
      <c r="F44" s="283"/>
      <c r="G44" s="284">
        <f>SUM(G41,G42)</f>
        <v>150213</v>
      </c>
      <c r="H44" s="285"/>
      <c r="I44" s="284">
        <f>SUM(I41)</f>
        <v>169690.4</v>
      </c>
      <c r="J44" s="285"/>
      <c r="K44" s="286">
        <f>SUM(K41)</f>
        <v>219648</v>
      </c>
    </row>
  </sheetData>
  <mergeCells count="9">
    <mergeCell ref="J13:K13"/>
    <mergeCell ref="N13:R13"/>
    <mergeCell ref="S13:V13"/>
    <mergeCell ref="D44:F44"/>
    <mergeCell ref="E42:F42"/>
    <mergeCell ref="E41:F41"/>
    <mergeCell ref="A13:E13"/>
    <mergeCell ref="F13:G13"/>
    <mergeCell ref="H13:I13"/>
  </mergeCells>
  <phoneticPr fontId="27" type="noConversion"/>
  <pageMargins left="0.7" right="0.7" top="0.75" bottom="0.75" header="0.3" footer="0.3"/>
  <pageSetup orientation="portrait" verticalDpi="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8AD3-2B90-49E1-BFED-08BA67771A21}">
  <dimension ref="A1:Y81"/>
  <sheetViews>
    <sheetView zoomScale="60" zoomScaleNormal="60" workbookViewId="0"/>
  </sheetViews>
  <sheetFormatPr defaultColWidth="9.1796875" defaultRowHeight="13" x14ac:dyDescent="0.35"/>
  <cols>
    <col min="1" max="1" width="20.81640625" style="148" bestFit="1" customWidth="1"/>
    <col min="2" max="2" width="44.81640625" style="148" bestFit="1" customWidth="1"/>
    <col min="3" max="3" width="36.7265625" style="148" customWidth="1"/>
    <col min="4" max="4" width="9.81640625" style="148" bestFit="1" customWidth="1"/>
    <col min="5" max="5" width="26.54296875" style="148" bestFit="1" customWidth="1"/>
    <col min="6" max="6" width="15.26953125" style="148" bestFit="1" customWidth="1"/>
    <col min="7" max="7" width="22.1796875" style="148" bestFit="1" customWidth="1"/>
    <col min="8" max="8" width="16.453125" style="148" bestFit="1" customWidth="1"/>
    <col min="9" max="9" width="23.1796875" style="148" bestFit="1" customWidth="1"/>
    <col min="10" max="10" width="16.453125" style="148" bestFit="1" customWidth="1"/>
    <col min="11" max="11" width="23.1796875" style="148" bestFit="1" customWidth="1"/>
    <col min="12" max="12" width="14.81640625" style="148" bestFit="1" customWidth="1"/>
    <col min="13" max="14" width="13.453125" style="148" bestFit="1" customWidth="1"/>
    <col min="15" max="15" width="14.81640625" style="148" bestFit="1" customWidth="1"/>
    <col min="16" max="16" width="13.453125" style="148" bestFit="1" customWidth="1"/>
    <col min="17" max="17" width="16.81640625" style="148" bestFit="1" customWidth="1"/>
    <col min="18" max="18" width="16.26953125" style="148" bestFit="1" customWidth="1"/>
    <col min="19" max="20" width="14.453125" style="148" bestFit="1" customWidth="1"/>
    <col min="21" max="22" width="16.81640625" style="148" bestFit="1" customWidth="1"/>
    <col min="23" max="23" width="2.81640625" style="148" customWidth="1"/>
    <col min="24" max="16384" width="9.1796875" style="148"/>
  </cols>
  <sheetData>
    <row r="1" spans="1:25" ht="14.5" x14ac:dyDescent="0.35">
      <c r="A1" s="83"/>
      <c r="B1" s="83"/>
    </row>
    <row r="2" spans="1:25" ht="14.5" x14ac:dyDescent="0.35">
      <c r="A2" s="83"/>
      <c r="B2" s="83"/>
    </row>
    <row r="3" spans="1:25" ht="15.5" x14ac:dyDescent="0.35">
      <c r="A3" s="119" t="s">
        <v>65</v>
      </c>
      <c r="B3" s="83" t="s">
        <v>686</v>
      </c>
    </row>
    <row r="4" spans="1:25" ht="15.5" x14ac:dyDescent="0.35">
      <c r="A4" s="119" t="s">
        <v>67</v>
      </c>
      <c r="B4" s="83" t="str">
        <f>VLOOKUP(B3,DATA!$A$2:$E$80,3)</f>
        <v>Mcminnville</v>
      </c>
    </row>
    <row r="5" spans="1:25" ht="15.5" x14ac:dyDescent="0.35">
      <c r="A5" s="119" t="s">
        <v>69</v>
      </c>
      <c r="B5" s="83" t="str">
        <f>VLOOKUP(B3,DATA!$A$2:$E$80,4)</f>
        <v>Warren County Memorial</v>
      </c>
    </row>
    <row r="6" spans="1:25" ht="15.5" x14ac:dyDescent="0.35">
      <c r="A6" s="119" t="s">
        <v>70</v>
      </c>
      <c r="B6" s="83" t="s">
        <v>890</v>
      </c>
    </row>
    <row r="7" spans="1:25" ht="15.5" x14ac:dyDescent="0.35">
      <c r="A7" s="119" t="s">
        <v>71</v>
      </c>
      <c r="B7" s="83"/>
    </row>
    <row r="8" spans="1:25" ht="15.5" x14ac:dyDescent="0.35">
      <c r="A8" s="119" t="s">
        <v>72</v>
      </c>
      <c r="B8" s="120">
        <v>44706</v>
      </c>
    </row>
    <row r="9" spans="1:25" ht="15.5" x14ac:dyDescent="0.35">
      <c r="A9" s="119" t="s">
        <v>66</v>
      </c>
      <c r="B9" s="83" t="str">
        <f>VLOOKUP(B3,DATA!$A$2:$E$80,2)</f>
        <v>Warren</v>
      </c>
    </row>
    <row r="10" spans="1:25" ht="15.5" x14ac:dyDescent="0.35">
      <c r="A10" s="119" t="s">
        <v>68</v>
      </c>
      <c r="B10" s="83" t="str">
        <f>VLOOKUP(B3,DATA!$A$2:$E$80,5)</f>
        <v>Middle</v>
      </c>
    </row>
    <row r="12" spans="1:25" ht="15" thickBot="1" x14ac:dyDescent="0.4">
      <c r="A12" s="163"/>
      <c r="B12" s="150"/>
      <c r="C12" s="150"/>
      <c r="D12" s="150"/>
      <c r="E12" s="150"/>
      <c r="F12" s="150"/>
      <c r="G12" s="150"/>
      <c r="H12" s="150"/>
      <c r="I12" s="150"/>
      <c r="J12" s="150"/>
      <c r="K12" s="150"/>
      <c r="L12" s="150"/>
      <c r="M12" s="150"/>
      <c r="N12" s="150"/>
      <c r="O12" s="150"/>
      <c r="P12" s="150"/>
      <c r="Q12" s="150"/>
      <c r="R12" s="150"/>
      <c r="S12" s="150"/>
      <c r="T12" s="150"/>
      <c r="U12" s="150"/>
      <c r="V12" s="150"/>
      <c r="W12" s="150"/>
      <c r="X12" s="149"/>
      <c r="Y12" s="149"/>
    </row>
    <row r="13" spans="1:25" ht="16" thickBot="1" x14ac:dyDescent="0.4">
      <c r="A13" s="273" t="s">
        <v>891</v>
      </c>
      <c r="B13" s="274"/>
      <c r="C13" s="274"/>
      <c r="D13" s="274"/>
      <c r="E13" s="275"/>
      <c r="F13" s="276" t="s">
        <v>75</v>
      </c>
      <c r="G13" s="277"/>
      <c r="H13" s="276" t="s">
        <v>407</v>
      </c>
      <c r="I13" s="277"/>
      <c r="J13" s="276" t="s">
        <v>892</v>
      </c>
      <c r="K13" s="277"/>
      <c r="L13" s="150"/>
      <c r="M13" s="150"/>
      <c r="N13" s="278"/>
      <c r="O13" s="279"/>
      <c r="P13" s="279"/>
      <c r="Q13" s="279"/>
      <c r="R13" s="279"/>
      <c r="S13" s="280"/>
      <c r="T13" s="281"/>
      <c r="U13" s="281"/>
      <c r="V13" s="281"/>
      <c r="W13" s="149"/>
      <c r="X13" s="149"/>
      <c r="Y13" s="149"/>
    </row>
    <row r="14" spans="1:25" ht="15.5" x14ac:dyDescent="0.35">
      <c r="A14" s="180" t="s">
        <v>62</v>
      </c>
      <c r="B14" s="180" t="s">
        <v>98</v>
      </c>
      <c r="C14" s="180" t="s">
        <v>0</v>
      </c>
      <c r="D14" s="180" t="s">
        <v>1</v>
      </c>
      <c r="E14" s="180" t="s">
        <v>64</v>
      </c>
      <c r="F14" s="180" t="s">
        <v>262</v>
      </c>
      <c r="G14" s="180" t="s">
        <v>94</v>
      </c>
      <c r="H14" s="180" t="s">
        <v>355</v>
      </c>
      <c r="I14" s="180" t="s">
        <v>95</v>
      </c>
      <c r="J14" s="180" t="s">
        <v>458</v>
      </c>
      <c r="K14" s="180" t="s">
        <v>357</v>
      </c>
      <c r="L14" s="149"/>
      <c r="M14" s="149"/>
      <c r="N14" s="149"/>
    </row>
    <row r="15" spans="1:25" ht="14.5" x14ac:dyDescent="0.35">
      <c r="A15" s="151">
        <v>1</v>
      </c>
      <c r="B15" s="171" t="s">
        <v>834</v>
      </c>
      <c r="C15" s="170" t="s">
        <v>102</v>
      </c>
      <c r="D15" s="171" t="s">
        <v>3</v>
      </c>
      <c r="E15" s="151">
        <v>1</v>
      </c>
      <c r="F15" s="153">
        <v>40897.99</v>
      </c>
      <c r="G15" s="153">
        <v>40897.99</v>
      </c>
      <c r="H15" s="153">
        <v>75000</v>
      </c>
      <c r="I15" s="153">
        <v>75000</v>
      </c>
      <c r="J15" s="153">
        <v>121760</v>
      </c>
      <c r="K15" s="153">
        <v>121760</v>
      </c>
      <c r="L15" s="149"/>
      <c r="M15" s="149"/>
      <c r="N15" s="149"/>
    </row>
    <row r="16" spans="1:25" ht="14.5" x14ac:dyDescent="0.35">
      <c r="A16" s="151">
        <v>2</v>
      </c>
      <c r="B16" s="171" t="s">
        <v>835</v>
      </c>
      <c r="C16" s="170" t="s">
        <v>836</v>
      </c>
      <c r="D16" s="171" t="s">
        <v>837</v>
      </c>
      <c r="E16" s="151">
        <v>15</v>
      </c>
      <c r="F16" s="154">
        <v>320</v>
      </c>
      <c r="G16" s="153">
        <v>4800</v>
      </c>
      <c r="H16" s="154">
        <v>175</v>
      </c>
      <c r="I16" s="153">
        <v>2625</v>
      </c>
      <c r="J16" s="154">
        <v>127</v>
      </c>
      <c r="K16" s="153">
        <v>1905</v>
      </c>
      <c r="L16" s="149"/>
      <c r="M16" s="149"/>
      <c r="N16" s="149"/>
    </row>
    <row r="17" spans="1:14" ht="14.5" x14ac:dyDescent="0.35">
      <c r="A17" s="151">
        <v>3</v>
      </c>
      <c r="B17" s="171" t="s">
        <v>838</v>
      </c>
      <c r="C17" s="170" t="s">
        <v>839</v>
      </c>
      <c r="D17" s="171" t="s">
        <v>837</v>
      </c>
      <c r="E17" s="151">
        <v>2</v>
      </c>
      <c r="F17" s="153">
        <v>1300</v>
      </c>
      <c r="G17" s="153">
        <v>2600</v>
      </c>
      <c r="H17" s="153">
        <v>3000</v>
      </c>
      <c r="I17" s="153">
        <v>6000</v>
      </c>
      <c r="J17" s="154">
        <v>547</v>
      </c>
      <c r="K17" s="153">
        <v>1094</v>
      </c>
      <c r="L17" s="149"/>
      <c r="M17" s="149"/>
      <c r="N17" s="149"/>
    </row>
    <row r="18" spans="1:14" ht="14.5" x14ac:dyDescent="0.35">
      <c r="A18" s="151">
        <v>4</v>
      </c>
      <c r="B18" s="171" t="s">
        <v>840</v>
      </c>
      <c r="C18" s="170" t="s">
        <v>841</v>
      </c>
      <c r="D18" s="171" t="s">
        <v>837</v>
      </c>
      <c r="E18" s="151">
        <v>3</v>
      </c>
      <c r="F18" s="153">
        <v>1300</v>
      </c>
      <c r="G18" s="153">
        <v>3900</v>
      </c>
      <c r="H18" s="153">
        <v>1500</v>
      </c>
      <c r="I18" s="153">
        <v>4500</v>
      </c>
      <c r="J18" s="154">
        <v>547</v>
      </c>
      <c r="K18" s="153">
        <v>1641</v>
      </c>
      <c r="L18" s="149"/>
      <c r="M18" s="149"/>
      <c r="N18" s="149"/>
    </row>
    <row r="19" spans="1:14" ht="14.5" x14ac:dyDescent="0.35">
      <c r="A19" s="151">
        <v>5</v>
      </c>
      <c r="B19" s="171" t="s">
        <v>842</v>
      </c>
      <c r="C19" s="170" t="s">
        <v>843</v>
      </c>
      <c r="D19" s="171" t="s">
        <v>844</v>
      </c>
      <c r="E19" s="151">
        <v>290</v>
      </c>
      <c r="F19" s="154">
        <v>50</v>
      </c>
      <c r="G19" s="153">
        <v>14500</v>
      </c>
      <c r="H19" s="154">
        <v>90</v>
      </c>
      <c r="I19" s="153">
        <v>26100</v>
      </c>
      <c r="J19" s="154">
        <v>61.7</v>
      </c>
      <c r="K19" s="153">
        <v>17893</v>
      </c>
      <c r="L19" s="149"/>
      <c r="M19" s="149"/>
      <c r="N19" s="149"/>
    </row>
    <row r="20" spans="1:14" ht="14.5" x14ac:dyDescent="0.35">
      <c r="A20" s="151">
        <v>6</v>
      </c>
      <c r="B20" s="171" t="s">
        <v>845</v>
      </c>
      <c r="C20" s="170" t="s">
        <v>228</v>
      </c>
      <c r="D20" s="171" t="s">
        <v>3</v>
      </c>
      <c r="E20" s="151">
        <v>1</v>
      </c>
      <c r="F20" s="153">
        <v>5000</v>
      </c>
      <c r="G20" s="153">
        <v>5000</v>
      </c>
      <c r="H20" s="153">
        <v>7500</v>
      </c>
      <c r="I20" s="153">
        <v>7500</v>
      </c>
      <c r="J20" s="153">
        <v>9712</v>
      </c>
      <c r="K20" s="153">
        <v>9712</v>
      </c>
      <c r="L20" s="149"/>
      <c r="M20" s="149"/>
      <c r="N20" s="149"/>
    </row>
    <row r="21" spans="1:14" ht="14.5" x14ac:dyDescent="0.35">
      <c r="A21" s="151">
        <v>7</v>
      </c>
      <c r="B21" s="171" t="s">
        <v>846</v>
      </c>
      <c r="C21" s="170" t="s">
        <v>173</v>
      </c>
      <c r="D21" s="171" t="s">
        <v>3</v>
      </c>
      <c r="E21" s="151">
        <v>1</v>
      </c>
      <c r="F21" s="153">
        <v>15000</v>
      </c>
      <c r="G21" s="153">
        <v>15000</v>
      </c>
      <c r="H21" s="153">
        <v>7500</v>
      </c>
      <c r="I21" s="153">
        <v>7500</v>
      </c>
      <c r="J21" s="153">
        <v>36413</v>
      </c>
      <c r="K21" s="153">
        <v>36413</v>
      </c>
      <c r="L21" s="149"/>
      <c r="M21" s="149"/>
      <c r="N21" s="149"/>
    </row>
    <row r="22" spans="1:14" ht="14.5" x14ac:dyDescent="0.35">
      <c r="A22" s="151">
        <v>8</v>
      </c>
      <c r="B22" s="171" t="s">
        <v>847</v>
      </c>
      <c r="C22" s="170" t="s">
        <v>848</v>
      </c>
      <c r="D22" s="171" t="s">
        <v>3</v>
      </c>
      <c r="E22" s="151">
        <v>1</v>
      </c>
      <c r="F22" s="153">
        <v>5000</v>
      </c>
      <c r="G22" s="153">
        <v>5000</v>
      </c>
      <c r="H22" s="153">
        <v>17500</v>
      </c>
      <c r="I22" s="153">
        <v>17500</v>
      </c>
      <c r="J22" s="153">
        <v>29781</v>
      </c>
      <c r="K22" s="153">
        <v>29781</v>
      </c>
      <c r="L22" s="149"/>
      <c r="M22" s="149"/>
      <c r="N22" s="149"/>
    </row>
    <row r="23" spans="1:14" ht="14.5" x14ac:dyDescent="0.35">
      <c r="A23" s="151">
        <v>9</v>
      </c>
      <c r="B23" s="171" t="s">
        <v>59</v>
      </c>
      <c r="C23" s="170" t="s">
        <v>849</v>
      </c>
      <c r="D23" s="171" t="s">
        <v>3</v>
      </c>
      <c r="E23" s="151">
        <v>1</v>
      </c>
      <c r="F23" s="153">
        <v>7500</v>
      </c>
      <c r="G23" s="153">
        <v>7500</v>
      </c>
      <c r="H23" s="153">
        <v>7500</v>
      </c>
      <c r="I23" s="153">
        <v>7500</v>
      </c>
      <c r="J23" s="153">
        <v>17226</v>
      </c>
      <c r="K23" s="153">
        <v>17226</v>
      </c>
      <c r="L23" s="149"/>
      <c r="M23" s="149"/>
      <c r="N23" s="149"/>
    </row>
    <row r="24" spans="1:14" ht="14.5" x14ac:dyDescent="0.35">
      <c r="A24" s="151">
        <v>10</v>
      </c>
      <c r="B24" s="171" t="s">
        <v>850</v>
      </c>
      <c r="C24" s="170" t="s">
        <v>851</v>
      </c>
      <c r="D24" s="171" t="s">
        <v>3</v>
      </c>
      <c r="E24" s="151">
        <v>1</v>
      </c>
      <c r="F24" s="153">
        <v>20000</v>
      </c>
      <c r="G24" s="153">
        <v>20000</v>
      </c>
      <c r="H24" s="153">
        <v>27500</v>
      </c>
      <c r="I24" s="153">
        <v>27500</v>
      </c>
      <c r="J24" s="153">
        <v>44015</v>
      </c>
      <c r="K24" s="153">
        <v>44015</v>
      </c>
      <c r="L24" s="149"/>
      <c r="M24" s="149"/>
      <c r="N24" s="149"/>
    </row>
    <row r="25" spans="1:14" ht="29" x14ac:dyDescent="0.35">
      <c r="A25" s="151">
        <v>11</v>
      </c>
      <c r="B25" s="171" t="s">
        <v>852</v>
      </c>
      <c r="C25" s="170" t="s">
        <v>853</v>
      </c>
      <c r="D25" s="171" t="s">
        <v>837</v>
      </c>
      <c r="E25" s="151">
        <v>1</v>
      </c>
      <c r="F25" s="153">
        <v>13000</v>
      </c>
      <c r="G25" s="153">
        <v>13000</v>
      </c>
      <c r="H25" s="153">
        <v>15000</v>
      </c>
      <c r="I25" s="153">
        <v>15000</v>
      </c>
      <c r="J25" s="153">
        <v>15639</v>
      </c>
      <c r="K25" s="153">
        <v>15639</v>
      </c>
      <c r="L25" s="149"/>
      <c r="M25" s="149"/>
      <c r="N25" s="149"/>
    </row>
    <row r="26" spans="1:14" ht="14.5" x14ac:dyDescent="0.35">
      <c r="A26" s="151">
        <v>12</v>
      </c>
      <c r="B26" s="171" t="s">
        <v>33</v>
      </c>
      <c r="C26" s="170" t="s">
        <v>854</v>
      </c>
      <c r="D26" s="171" t="s">
        <v>844</v>
      </c>
      <c r="E26" s="151">
        <v>22017</v>
      </c>
      <c r="F26" s="154">
        <v>4</v>
      </c>
      <c r="G26" s="153">
        <v>88068</v>
      </c>
      <c r="H26" s="154">
        <v>2.5</v>
      </c>
      <c r="I26" s="153">
        <v>55042.5</v>
      </c>
      <c r="J26" s="154">
        <v>7.6</v>
      </c>
      <c r="K26" s="153">
        <v>167329.20000000001</v>
      </c>
      <c r="L26" s="149"/>
      <c r="M26" s="149"/>
      <c r="N26" s="149"/>
    </row>
    <row r="27" spans="1:14" ht="14.5" x14ac:dyDescent="0.35">
      <c r="A27" s="151">
        <v>13</v>
      </c>
      <c r="B27" s="171" t="s">
        <v>34</v>
      </c>
      <c r="C27" s="170" t="s">
        <v>855</v>
      </c>
      <c r="D27" s="171" t="s">
        <v>837</v>
      </c>
      <c r="E27" s="151">
        <v>14</v>
      </c>
      <c r="F27" s="154">
        <v>400</v>
      </c>
      <c r="G27" s="153">
        <v>5600</v>
      </c>
      <c r="H27" s="154">
        <v>425</v>
      </c>
      <c r="I27" s="153">
        <v>5950</v>
      </c>
      <c r="J27" s="154">
        <v>863</v>
      </c>
      <c r="K27" s="153">
        <v>12082</v>
      </c>
      <c r="L27" s="149"/>
      <c r="M27" s="149"/>
      <c r="N27" s="149"/>
    </row>
    <row r="28" spans="1:14" ht="14.5" x14ac:dyDescent="0.35">
      <c r="A28" s="151">
        <v>14</v>
      </c>
      <c r="B28" s="171" t="s">
        <v>35</v>
      </c>
      <c r="C28" s="170" t="s">
        <v>856</v>
      </c>
      <c r="D28" s="171" t="s">
        <v>844</v>
      </c>
      <c r="E28" s="151">
        <v>14878</v>
      </c>
      <c r="F28" s="154">
        <v>2</v>
      </c>
      <c r="G28" s="153">
        <v>29756</v>
      </c>
      <c r="H28" s="154">
        <v>2</v>
      </c>
      <c r="I28" s="153">
        <v>29756</v>
      </c>
      <c r="J28" s="154">
        <v>6.7</v>
      </c>
      <c r="K28" s="153">
        <v>99682.6</v>
      </c>
      <c r="L28" s="149"/>
      <c r="M28" s="149"/>
      <c r="N28" s="149"/>
    </row>
    <row r="29" spans="1:14" ht="29" x14ac:dyDescent="0.35">
      <c r="A29" s="151">
        <v>15</v>
      </c>
      <c r="B29" s="171" t="s">
        <v>36</v>
      </c>
      <c r="C29" s="170" t="s">
        <v>857</v>
      </c>
      <c r="D29" s="171" t="s">
        <v>844</v>
      </c>
      <c r="E29" s="151">
        <v>21697</v>
      </c>
      <c r="F29" s="154">
        <v>2.5</v>
      </c>
      <c r="G29" s="153">
        <v>54242.5</v>
      </c>
      <c r="H29" s="154">
        <v>3.5</v>
      </c>
      <c r="I29" s="153">
        <v>75939.5</v>
      </c>
      <c r="J29" s="154">
        <v>3.3</v>
      </c>
      <c r="K29" s="153">
        <v>71600.100000000006</v>
      </c>
      <c r="L29" s="149"/>
      <c r="M29" s="149"/>
      <c r="N29" s="149"/>
    </row>
    <row r="30" spans="1:14" ht="14.5" x14ac:dyDescent="0.35">
      <c r="A30" s="151">
        <v>16</v>
      </c>
      <c r="B30" s="171" t="s">
        <v>134</v>
      </c>
      <c r="C30" s="170" t="s">
        <v>858</v>
      </c>
      <c r="D30" s="171" t="s">
        <v>844</v>
      </c>
      <c r="E30" s="151">
        <v>44547</v>
      </c>
      <c r="F30" s="154">
        <v>2.75</v>
      </c>
      <c r="G30" s="153">
        <v>122504.25</v>
      </c>
      <c r="H30" s="154">
        <v>4</v>
      </c>
      <c r="I30" s="153">
        <v>178188</v>
      </c>
      <c r="J30" s="154">
        <v>9.8000000000000007</v>
      </c>
      <c r="K30" s="153">
        <v>436560.6</v>
      </c>
      <c r="L30" s="149"/>
      <c r="M30" s="149"/>
      <c r="N30" s="149"/>
    </row>
    <row r="31" spans="1:14" ht="14.5" x14ac:dyDescent="0.35">
      <c r="A31" s="151">
        <v>17</v>
      </c>
      <c r="B31" s="171" t="s">
        <v>387</v>
      </c>
      <c r="C31" s="170" t="s">
        <v>859</v>
      </c>
      <c r="D31" s="171" t="s">
        <v>844</v>
      </c>
      <c r="E31" s="151">
        <v>6439</v>
      </c>
      <c r="F31" s="154">
        <v>2.25</v>
      </c>
      <c r="G31" s="153">
        <v>14487.75</v>
      </c>
      <c r="H31" s="154">
        <v>2</v>
      </c>
      <c r="I31" s="153">
        <v>12878</v>
      </c>
      <c r="J31" s="154">
        <v>7.6</v>
      </c>
      <c r="K31" s="153">
        <v>48936.4</v>
      </c>
      <c r="L31" s="149"/>
      <c r="M31" s="149"/>
      <c r="N31" s="149"/>
    </row>
    <row r="32" spans="1:14" ht="29" x14ac:dyDescent="0.35">
      <c r="A32" s="151">
        <v>18</v>
      </c>
      <c r="B32" s="171" t="s">
        <v>860</v>
      </c>
      <c r="C32" s="170" t="s">
        <v>861</v>
      </c>
      <c r="D32" s="171" t="s">
        <v>844</v>
      </c>
      <c r="E32" s="151">
        <v>235</v>
      </c>
      <c r="F32" s="154">
        <v>2.5499999999999998</v>
      </c>
      <c r="G32" s="154">
        <v>599.25</v>
      </c>
      <c r="H32" s="154">
        <v>1.75</v>
      </c>
      <c r="I32" s="154">
        <v>411.25</v>
      </c>
      <c r="J32" s="154">
        <v>3.3</v>
      </c>
      <c r="K32" s="154">
        <v>775.5</v>
      </c>
      <c r="L32" s="149"/>
      <c r="M32" s="149"/>
      <c r="N32" s="149"/>
    </row>
    <row r="33" spans="1:25" ht="14.5" x14ac:dyDescent="0.35">
      <c r="A33" s="151">
        <v>19</v>
      </c>
      <c r="B33" s="171" t="s">
        <v>862</v>
      </c>
      <c r="C33" s="170" t="s">
        <v>863</v>
      </c>
      <c r="D33" s="171" t="s">
        <v>837</v>
      </c>
      <c r="E33" s="151">
        <v>1</v>
      </c>
      <c r="F33" s="153">
        <v>11000</v>
      </c>
      <c r="G33" s="153">
        <v>11000</v>
      </c>
      <c r="H33" s="153">
        <v>13500</v>
      </c>
      <c r="I33" s="153">
        <v>13500</v>
      </c>
      <c r="J33" s="153">
        <v>18517</v>
      </c>
      <c r="K33" s="153">
        <v>18517</v>
      </c>
      <c r="L33" s="149"/>
      <c r="M33" s="149"/>
      <c r="N33" s="149"/>
    </row>
    <row r="34" spans="1:25" ht="14.5" x14ac:dyDescent="0.35">
      <c r="A34" s="151">
        <v>20</v>
      </c>
      <c r="B34" s="171" t="s">
        <v>864</v>
      </c>
      <c r="C34" s="170" t="s">
        <v>865</v>
      </c>
      <c r="D34" s="171" t="s">
        <v>837</v>
      </c>
      <c r="E34" s="151">
        <v>1</v>
      </c>
      <c r="F34" s="153">
        <v>6000</v>
      </c>
      <c r="G34" s="153">
        <v>6000</v>
      </c>
      <c r="H34" s="153">
        <v>7200</v>
      </c>
      <c r="I34" s="153">
        <v>7200</v>
      </c>
      <c r="J34" s="153">
        <v>6139</v>
      </c>
      <c r="K34" s="153">
        <v>6139</v>
      </c>
      <c r="L34" s="149"/>
      <c r="M34" s="149"/>
      <c r="N34" s="149"/>
    </row>
    <row r="35" spans="1:25" ht="14.5" x14ac:dyDescent="0.35">
      <c r="A35" s="151">
        <v>21</v>
      </c>
      <c r="B35" s="171" t="s">
        <v>866</v>
      </c>
      <c r="C35" s="170" t="s">
        <v>867</v>
      </c>
      <c r="D35" s="171" t="s">
        <v>837</v>
      </c>
      <c r="E35" s="151">
        <v>1</v>
      </c>
      <c r="F35" s="153">
        <v>14000</v>
      </c>
      <c r="G35" s="153">
        <v>14000</v>
      </c>
      <c r="H35" s="153">
        <v>19500</v>
      </c>
      <c r="I35" s="153">
        <v>19500</v>
      </c>
      <c r="J35" s="153">
        <v>27366</v>
      </c>
      <c r="K35" s="153">
        <v>27366</v>
      </c>
      <c r="L35" s="149"/>
      <c r="M35" s="149"/>
      <c r="N35" s="149"/>
    </row>
    <row r="36" spans="1:25" ht="14.5" x14ac:dyDescent="0.35">
      <c r="A36" s="151">
        <v>22</v>
      </c>
      <c r="B36" s="171" t="s">
        <v>37</v>
      </c>
      <c r="C36" s="170" t="s">
        <v>868</v>
      </c>
      <c r="D36" s="171" t="s">
        <v>844</v>
      </c>
      <c r="E36" s="151">
        <v>22017</v>
      </c>
      <c r="F36" s="154">
        <v>6</v>
      </c>
      <c r="G36" s="153">
        <v>132102</v>
      </c>
      <c r="H36" s="154">
        <v>8</v>
      </c>
      <c r="I36" s="153">
        <v>176136</v>
      </c>
      <c r="J36" s="154">
        <v>8.8000000000000007</v>
      </c>
      <c r="K36" s="153">
        <v>193749.6</v>
      </c>
      <c r="L36" s="149"/>
      <c r="M36" s="149"/>
      <c r="N36" s="149"/>
    </row>
    <row r="37" spans="1:25" ht="14.5" x14ac:dyDescent="0.35">
      <c r="A37" s="151">
        <v>23</v>
      </c>
      <c r="B37" s="171" t="s">
        <v>869</v>
      </c>
      <c r="C37" s="170" t="s">
        <v>870</v>
      </c>
      <c r="D37" s="171" t="s">
        <v>3</v>
      </c>
      <c r="E37" s="151">
        <v>2</v>
      </c>
      <c r="F37" s="153">
        <v>50000</v>
      </c>
      <c r="G37" s="153">
        <v>100000</v>
      </c>
      <c r="H37" s="153">
        <v>53750</v>
      </c>
      <c r="I37" s="153">
        <v>107500</v>
      </c>
      <c r="J37" s="153">
        <v>67228</v>
      </c>
      <c r="K37" s="153">
        <v>134456</v>
      </c>
      <c r="L37" s="149"/>
      <c r="M37" s="149"/>
      <c r="N37" s="149"/>
    </row>
    <row r="38" spans="1:25" ht="14.5" x14ac:dyDescent="0.35">
      <c r="A38" s="151">
        <v>24</v>
      </c>
      <c r="B38" s="171" t="s">
        <v>42</v>
      </c>
      <c r="C38" s="170" t="s">
        <v>871</v>
      </c>
      <c r="D38" s="171" t="s">
        <v>3</v>
      </c>
      <c r="E38" s="151">
        <v>2</v>
      </c>
      <c r="F38" s="153">
        <v>15000</v>
      </c>
      <c r="G38" s="153">
        <v>30000</v>
      </c>
      <c r="H38" s="153">
        <v>16750</v>
      </c>
      <c r="I38" s="153">
        <v>33500</v>
      </c>
      <c r="J38" s="153">
        <v>29203</v>
      </c>
      <c r="K38" s="153">
        <v>58406</v>
      </c>
      <c r="L38" s="149"/>
      <c r="M38" s="149"/>
      <c r="N38" s="149"/>
    </row>
    <row r="39" spans="1:25" ht="29" x14ac:dyDescent="0.35">
      <c r="A39" s="151">
        <v>25</v>
      </c>
      <c r="B39" s="171" t="s">
        <v>43</v>
      </c>
      <c r="C39" s="170" t="s">
        <v>872</v>
      </c>
      <c r="D39" s="171" t="s">
        <v>837</v>
      </c>
      <c r="E39" s="151">
        <v>10</v>
      </c>
      <c r="F39" s="153">
        <v>1200</v>
      </c>
      <c r="G39" s="153">
        <v>12000</v>
      </c>
      <c r="H39" s="153">
        <v>1650</v>
      </c>
      <c r="I39" s="153">
        <v>16500</v>
      </c>
      <c r="J39" s="153">
        <v>2841</v>
      </c>
      <c r="K39" s="153">
        <v>28410</v>
      </c>
      <c r="L39" s="149"/>
      <c r="M39" s="149"/>
      <c r="N39" s="149"/>
    </row>
    <row r="40" spans="1:25" ht="29" x14ac:dyDescent="0.35">
      <c r="A40" s="151">
        <v>26</v>
      </c>
      <c r="B40" s="171" t="s">
        <v>44</v>
      </c>
      <c r="C40" s="170" t="s">
        <v>873</v>
      </c>
      <c r="D40" s="171" t="s">
        <v>837</v>
      </c>
      <c r="E40" s="151">
        <v>38</v>
      </c>
      <c r="F40" s="153">
        <v>1200</v>
      </c>
      <c r="G40" s="153">
        <v>45600</v>
      </c>
      <c r="H40" s="153">
        <v>1650</v>
      </c>
      <c r="I40" s="153">
        <v>62700</v>
      </c>
      <c r="J40" s="153">
        <v>2881</v>
      </c>
      <c r="K40" s="153">
        <v>109478</v>
      </c>
      <c r="L40" s="149"/>
      <c r="M40" s="149"/>
      <c r="N40" s="149"/>
    </row>
    <row r="41" spans="1:25" ht="29" x14ac:dyDescent="0.35">
      <c r="A41" s="151">
        <v>27</v>
      </c>
      <c r="B41" s="171" t="s">
        <v>45</v>
      </c>
      <c r="C41" s="170" t="s">
        <v>874</v>
      </c>
      <c r="D41" s="171" t="s">
        <v>837</v>
      </c>
      <c r="E41" s="151">
        <v>16</v>
      </c>
      <c r="F41" s="153">
        <v>1200</v>
      </c>
      <c r="G41" s="153">
        <v>19200</v>
      </c>
      <c r="H41" s="153">
        <v>1700</v>
      </c>
      <c r="I41" s="153">
        <v>27200</v>
      </c>
      <c r="J41" s="153">
        <v>2985</v>
      </c>
      <c r="K41" s="153">
        <v>47760</v>
      </c>
      <c r="L41" s="149"/>
      <c r="M41" s="149"/>
      <c r="N41" s="149"/>
    </row>
    <row r="42" spans="1:25" ht="14.5" x14ac:dyDescent="0.35">
      <c r="A42" s="151">
        <v>28</v>
      </c>
      <c r="B42" s="171" t="s">
        <v>146</v>
      </c>
      <c r="C42" s="170" t="s">
        <v>875</v>
      </c>
      <c r="D42" s="171" t="s">
        <v>3</v>
      </c>
      <c r="E42" s="151">
        <v>1</v>
      </c>
      <c r="F42" s="153">
        <v>5000</v>
      </c>
      <c r="G42" s="153">
        <v>5000</v>
      </c>
      <c r="H42" s="153">
        <v>5000</v>
      </c>
      <c r="I42" s="153">
        <v>5000</v>
      </c>
      <c r="J42" s="153">
        <v>3045</v>
      </c>
      <c r="K42" s="153">
        <v>3045</v>
      </c>
      <c r="L42" s="149"/>
      <c r="M42" s="149"/>
      <c r="N42" s="149"/>
    </row>
    <row r="43" spans="1:25" ht="14.5" x14ac:dyDescent="0.35">
      <c r="A43" s="151">
        <v>29</v>
      </c>
      <c r="B43" s="171" t="s">
        <v>319</v>
      </c>
      <c r="C43" s="170" t="s">
        <v>876</v>
      </c>
      <c r="D43" s="171" t="s">
        <v>837</v>
      </c>
      <c r="E43" s="151">
        <v>4</v>
      </c>
      <c r="F43" s="153">
        <v>5000</v>
      </c>
      <c r="G43" s="153">
        <v>20000</v>
      </c>
      <c r="H43" s="153">
        <v>5500</v>
      </c>
      <c r="I43" s="153">
        <v>22000</v>
      </c>
      <c r="J43" s="153">
        <v>10677</v>
      </c>
      <c r="K43" s="153">
        <v>42708</v>
      </c>
      <c r="L43" s="149"/>
      <c r="M43" s="149"/>
      <c r="N43" s="149"/>
    </row>
    <row r="44" spans="1:25" ht="15" thickBot="1" x14ac:dyDescent="0.4">
      <c r="A44" s="151">
        <v>30</v>
      </c>
      <c r="B44" s="171" t="s">
        <v>877</v>
      </c>
      <c r="C44" s="170" t="s">
        <v>878</v>
      </c>
      <c r="D44" s="171" t="s">
        <v>837</v>
      </c>
      <c r="E44" s="151">
        <v>11</v>
      </c>
      <c r="F44" s="153">
        <v>1500</v>
      </c>
      <c r="G44" s="153">
        <v>16500</v>
      </c>
      <c r="H44" s="154">
        <v>600</v>
      </c>
      <c r="I44" s="153">
        <v>6600</v>
      </c>
      <c r="J44" s="153">
        <v>1000</v>
      </c>
      <c r="K44" s="153">
        <v>11000</v>
      </c>
      <c r="L44" s="149"/>
      <c r="M44" s="149"/>
      <c r="N44" s="149"/>
    </row>
    <row r="45" spans="1:25" ht="16" thickBot="1" x14ac:dyDescent="0.4">
      <c r="A45" s="173"/>
      <c r="B45" s="174"/>
      <c r="C45" s="175"/>
      <c r="D45" s="173"/>
      <c r="E45" s="160" t="s">
        <v>164</v>
      </c>
      <c r="F45" s="161"/>
      <c r="G45" s="181">
        <f>SUBTOTAL(109,Table10[EXTENDED TOTAL])</f>
        <v>858857.74</v>
      </c>
      <c r="H45" s="166"/>
      <c r="I45" s="181">
        <f>SUM(I15:I44)</f>
        <v>1052226.25</v>
      </c>
      <c r="J45" s="162"/>
      <c r="K45" s="167">
        <f>SUM(K15:K44)</f>
        <v>1815080</v>
      </c>
      <c r="L45" s="159"/>
      <c r="M45" s="159"/>
      <c r="N45" s="152"/>
      <c r="O45" s="152"/>
      <c r="P45" s="152"/>
      <c r="Q45" s="152"/>
      <c r="R45" s="152"/>
      <c r="S45" s="152"/>
      <c r="T45" s="152"/>
      <c r="U45" s="152"/>
      <c r="V45" s="152"/>
      <c r="W45" s="152"/>
      <c r="X45" s="149"/>
      <c r="Y45" s="149"/>
    </row>
    <row r="46" spans="1:25" ht="16" thickBot="1" x14ac:dyDescent="0.4">
      <c r="A46" s="176"/>
      <c r="B46" s="176"/>
      <c r="C46" s="176"/>
      <c r="D46" s="176"/>
      <c r="E46" s="176"/>
      <c r="F46" s="176"/>
      <c r="L46" s="158"/>
      <c r="M46" s="158"/>
      <c r="N46" s="158"/>
      <c r="O46" s="158"/>
      <c r="P46" s="159"/>
      <c r="Q46" s="159"/>
      <c r="R46" s="159"/>
      <c r="S46" s="159"/>
      <c r="T46" s="159"/>
      <c r="W46" s="164"/>
      <c r="X46" s="149"/>
      <c r="Y46" s="149"/>
    </row>
    <row r="47" spans="1:25" ht="16" thickBot="1" x14ac:dyDescent="0.4">
      <c r="A47" s="273" t="s">
        <v>893</v>
      </c>
      <c r="B47" s="274"/>
      <c r="C47" s="274"/>
      <c r="D47" s="274"/>
      <c r="E47" s="275"/>
      <c r="F47" s="276" t="s">
        <v>75</v>
      </c>
      <c r="G47" s="277"/>
      <c r="H47" s="276" t="s">
        <v>407</v>
      </c>
      <c r="I47" s="277"/>
      <c r="J47" s="276" t="s">
        <v>892</v>
      </c>
      <c r="K47" s="277"/>
      <c r="L47" s="152"/>
      <c r="M47" s="152"/>
      <c r="N47" s="152"/>
      <c r="O47" s="152"/>
      <c r="P47" s="152"/>
      <c r="Q47" s="152"/>
      <c r="R47" s="152"/>
      <c r="S47" s="152"/>
      <c r="T47" s="152"/>
      <c r="U47" s="152"/>
      <c r="V47" s="152"/>
      <c r="W47" s="152"/>
      <c r="X47" s="149"/>
      <c r="Y47" s="149"/>
    </row>
    <row r="48" spans="1:25" ht="15.5" x14ac:dyDescent="0.35">
      <c r="A48" s="172" t="s">
        <v>62</v>
      </c>
      <c r="B48" s="172" t="s">
        <v>98</v>
      </c>
      <c r="C48" s="172" t="s">
        <v>0</v>
      </c>
      <c r="D48" s="172" t="s">
        <v>1</v>
      </c>
      <c r="E48" s="172" t="s">
        <v>64</v>
      </c>
      <c r="F48" s="172" t="s">
        <v>262</v>
      </c>
      <c r="G48" s="172" t="s">
        <v>94</v>
      </c>
      <c r="H48" s="172" t="s">
        <v>355</v>
      </c>
      <c r="I48" s="172" t="s">
        <v>95</v>
      </c>
      <c r="J48" s="172" t="s">
        <v>458</v>
      </c>
      <c r="K48" s="172" t="s">
        <v>357</v>
      </c>
      <c r="L48" s="149"/>
      <c r="M48" s="149"/>
      <c r="N48" s="149"/>
    </row>
    <row r="49" spans="1:25" ht="14.5" x14ac:dyDescent="0.35">
      <c r="A49" s="151">
        <v>1</v>
      </c>
      <c r="B49" s="171" t="s">
        <v>834</v>
      </c>
      <c r="C49" s="170" t="s">
        <v>102</v>
      </c>
      <c r="D49" s="171" t="s">
        <v>3</v>
      </c>
      <c r="E49" s="151">
        <v>1</v>
      </c>
      <c r="F49" s="153">
        <v>18004.43</v>
      </c>
      <c r="G49" s="153">
        <v>18004.43</v>
      </c>
      <c r="H49" s="153">
        <v>22500</v>
      </c>
      <c r="I49" s="153">
        <v>22500</v>
      </c>
      <c r="J49" s="153">
        <v>45230</v>
      </c>
      <c r="K49" s="153">
        <v>45230</v>
      </c>
      <c r="L49" s="149"/>
      <c r="M49" s="149"/>
      <c r="N49" s="149"/>
    </row>
    <row r="50" spans="1:25" ht="14.5" x14ac:dyDescent="0.35">
      <c r="A50" s="151">
        <v>2</v>
      </c>
      <c r="B50" s="171" t="s">
        <v>845</v>
      </c>
      <c r="C50" s="170" t="s">
        <v>173</v>
      </c>
      <c r="D50" s="171" t="s">
        <v>3</v>
      </c>
      <c r="E50" s="151">
        <v>1</v>
      </c>
      <c r="F50" s="153">
        <v>15000</v>
      </c>
      <c r="G50" s="153">
        <v>15000</v>
      </c>
      <c r="H50" s="153">
        <v>8500</v>
      </c>
      <c r="I50" s="153">
        <v>8500</v>
      </c>
      <c r="J50" s="153">
        <v>22583</v>
      </c>
      <c r="K50" s="153">
        <v>22583</v>
      </c>
      <c r="L50" s="149"/>
      <c r="M50" s="149"/>
      <c r="N50" s="149"/>
    </row>
    <row r="51" spans="1:25" ht="14.5" x14ac:dyDescent="0.35">
      <c r="A51" s="151">
        <v>3</v>
      </c>
      <c r="B51" s="171" t="s">
        <v>59</v>
      </c>
      <c r="C51" s="170" t="s">
        <v>849</v>
      </c>
      <c r="D51" s="171" t="s">
        <v>3</v>
      </c>
      <c r="E51" s="151">
        <v>1</v>
      </c>
      <c r="F51" s="153">
        <v>7500</v>
      </c>
      <c r="G51" s="153">
        <v>7500</v>
      </c>
      <c r="H51" s="153">
        <v>7500</v>
      </c>
      <c r="I51" s="153">
        <v>7500</v>
      </c>
      <c r="J51" s="153">
        <v>6380</v>
      </c>
      <c r="K51" s="153">
        <v>6380</v>
      </c>
      <c r="L51" s="149"/>
      <c r="M51" s="149"/>
      <c r="N51" s="149"/>
    </row>
    <row r="52" spans="1:25" ht="14.5" x14ac:dyDescent="0.35">
      <c r="A52" s="151">
        <v>4</v>
      </c>
      <c r="B52" s="171" t="s">
        <v>33</v>
      </c>
      <c r="C52" s="170" t="s">
        <v>854</v>
      </c>
      <c r="D52" s="171" t="s">
        <v>844</v>
      </c>
      <c r="E52" s="151">
        <v>9963</v>
      </c>
      <c r="F52" s="154">
        <v>4</v>
      </c>
      <c r="G52" s="153">
        <v>39852</v>
      </c>
      <c r="H52" s="154">
        <v>2.5</v>
      </c>
      <c r="I52" s="153">
        <v>24907.5</v>
      </c>
      <c r="J52" s="154">
        <v>8.4</v>
      </c>
      <c r="K52" s="153">
        <v>83689.2</v>
      </c>
      <c r="L52" s="149"/>
      <c r="M52" s="149"/>
      <c r="N52" s="149"/>
    </row>
    <row r="53" spans="1:25" ht="14.5" x14ac:dyDescent="0.35">
      <c r="A53" s="151">
        <v>5</v>
      </c>
      <c r="B53" s="171" t="s">
        <v>34</v>
      </c>
      <c r="C53" s="170" t="s">
        <v>855</v>
      </c>
      <c r="D53" s="171" t="s">
        <v>837</v>
      </c>
      <c r="E53" s="151">
        <v>8</v>
      </c>
      <c r="F53" s="154">
        <v>425</v>
      </c>
      <c r="G53" s="153">
        <v>3400</v>
      </c>
      <c r="H53" s="154">
        <v>425</v>
      </c>
      <c r="I53" s="153">
        <v>3400</v>
      </c>
      <c r="J53" s="154">
        <v>863</v>
      </c>
      <c r="K53" s="153">
        <v>6904</v>
      </c>
      <c r="L53" s="149"/>
      <c r="M53" s="149"/>
      <c r="N53" s="149"/>
    </row>
    <row r="54" spans="1:25" ht="14.5" x14ac:dyDescent="0.35">
      <c r="A54" s="151">
        <v>6</v>
      </c>
      <c r="B54" s="171" t="s">
        <v>35</v>
      </c>
      <c r="C54" s="170" t="s">
        <v>856</v>
      </c>
      <c r="D54" s="171" t="s">
        <v>844</v>
      </c>
      <c r="E54" s="151">
        <v>14594</v>
      </c>
      <c r="F54" s="154">
        <v>2</v>
      </c>
      <c r="G54" s="153">
        <v>29188</v>
      </c>
      <c r="H54" s="154">
        <v>2</v>
      </c>
      <c r="I54" s="153">
        <v>29188</v>
      </c>
      <c r="J54" s="154">
        <v>3</v>
      </c>
      <c r="K54" s="153">
        <v>43782</v>
      </c>
      <c r="L54" s="149"/>
      <c r="M54" s="149"/>
      <c r="N54" s="149"/>
    </row>
    <row r="55" spans="1:25" ht="29" x14ac:dyDescent="0.35">
      <c r="A55" s="151">
        <v>7</v>
      </c>
      <c r="B55" s="171" t="s">
        <v>36</v>
      </c>
      <c r="C55" s="170" t="s">
        <v>857</v>
      </c>
      <c r="D55" s="171" t="s">
        <v>844</v>
      </c>
      <c r="E55" s="151">
        <v>9963</v>
      </c>
      <c r="F55" s="154">
        <v>3.5</v>
      </c>
      <c r="G55" s="153">
        <v>34870.5</v>
      </c>
      <c r="H55" s="154">
        <v>3.5</v>
      </c>
      <c r="I55" s="153">
        <v>34870.5</v>
      </c>
      <c r="J55" s="154">
        <v>3.3</v>
      </c>
      <c r="K55" s="153">
        <v>32877.9</v>
      </c>
      <c r="L55" s="149"/>
      <c r="M55" s="149"/>
      <c r="N55" s="149"/>
    </row>
    <row r="56" spans="1:25" ht="14.5" x14ac:dyDescent="0.35">
      <c r="A56" s="151">
        <v>8</v>
      </c>
      <c r="B56" s="171" t="s">
        <v>879</v>
      </c>
      <c r="C56" s="170" t="s">
        <v>880</v>
      </c>
      <c r="D56" s="171" t="s">
        <v>837</v>
      </c>
      <c r="E56" s="151">
        <v>1</v>
      </c>
      <c r="F56" s="153">
        <v>13500</v>
      </c>
      <c r="G56" s="153">
        <v>13500</v>
      </c>
      <c r="H56" s="153">
        <v>16500</v>
      </c>
      <c r="I56" s="153">
        <v>16500</v>
      </c>
      <c r="J56" s="153">
        <v>21769</v>
      </c>
      <c r="K56" s="153">
        <v>21769</v>
      </c>
      <c r="L56" s="149"/>
      <c r="M56" s="149"/>
      <c r="N56" s="149"/>
    </row>
    <row r="57" spans="1:25" ht="14.5" x14ac:dyDescent="0.35">
      <c r="A57" s="151">
        <v>9</v>
      </c>
      <c r="B57" s="171" t="s">
        <v>37</v>
      </c>
      <c r="C57" s="170" t="s">
        <v>868</v>
      </c>
      <c r="D57" s="171" t="s">
        <v>844</v>
      </c>
      <c r="E57" s="151">
        <v>9963</v>
      </c>
      <c r="F57" s="154">
        <v>6</v>
      </c>
      <c r="G57" s="153">
        <v>59778</v>
      </c>
      <c r="H57" s="154">
        <v>8</v>
      </c>
      <c r="I57" s="153">
        <v>79704</v>
      </c>
      <c r="J57" s="154">
        <v>8.8000000000000007</v>
      </c>
      <c r="K57" s="153">
        <v>87674.4</v>
      </c>
      <c r="L57" s="149"/>
      <c r="M57" s="149"/>
      <c r="N57" s="149"/>
    </row>
    <row r="58" spans="1:25" ht="14.5" x14ac:dyDescent="0.35">
      <c r="A58" s="151">
        <v>10</v>
      </c>
      <c r="B58" s="171" t="s">
        <v>146</v>
      </c>
      <c r="C58" s="170" t="s">
        <v>875</v>
      </c>
      <c r="D58" s="171" t="s">
        <v>3</v>
      </c>
      <c r="E58" s="151">
        <v>1</v>
      </c>
      <c r="F58" s="153">
        <v>5000</v>
      </c>
      <c r="G58" s="153">
        <v>5000</v>
      </c>
      <c r="H58" s="153">
        <v>6500</v>
      </c>
      <c r="I58" s="153">
        <v>6500</v>
      </c>
      <c r="J58" s="153">
        <v>4089</v>
      </c>
      <c r="K58" s="153">
        <v>4089</v>
      </c>
      <c r="L58" s="149"/>
      <c r="M58" s="149"/>
      <c r="N58" s="149"/>
    </row>
    <row r="59" spans="1:25" ht="14.5" x14ac:dyDescent="0.35">
      <c r="A59" s="151">
        <v>11</v>
      </c>
      <c r="B59" s="171" t="s">
        <v>148</v>
      </c>
      <c r="C59" s="170" t="s">
        <v>876</v>
      </c>
      <c r="D59" s="171" t="s">
        <v>837</v>
      </c>
      <c r="E59" s="151">
        <v>4</v>
      </c>
      <c r="F59" s="153">
        <v>5000</v>
      </c>
      <c r="G59" s="153">
        <v>20000</v>
      </c>
      <c r="H59" s="153">
        <v>5500</v>
      </c>
      <c r="I59" s="153">
        <v>22000</v>
      </c>
      <c r="J59" s="153">
        <v>8572</v>
      </c>
      <c r="K59" s="153">
        <v>34288</v>
      </c>
      <c r="L59" s="149"/>
      <c r="M59" s="149"/>
      <c r="N59" s="149"/>
    </row>
    <row r="60" spans="1:25" ht="29.5" thickBot="1" x14ac:dyDescent="0.4">
      <c r="A60" s="151">
        <v>12</v>
      </c>
      <c r="B60" s="171" t="s">
        <v>149</v>
      </c>
      <c r="C60" s="170" t="s">
        <v>881</v>
      </c>
      <c r="D60" s="171" t="s">
        <v>837</v>
      </c>
      <c r="E60" s="151">
        <v>110</v>
      </c>
      <c r="F60" s="153">
        <v>1200</v>
      </c>
      <c r="G60" s="153">
        <v>132000</v>
      </c>
      <c r="H60" s="153">
        <v>1350</v>
      </c>
      <c r="I60" s="153">
        <v>148500</v>
      </c>
      <c r="J60" s="153">
        <v>2623</v>
      </c>
      <c r="K60" s="153">
        <v>288530</v>
      </c>
      <c r="L60" s="149"/>
      <c r="M60" s="149"/>
      <c r="N60" s="149"/>
    </row>
    <row r="61" spans="1:25" ht="16" thickBot="1" x14ac:dyDescent="0.4">
      <c r="A61" s="179"/>
      <c r="B61" s="176"/>
      <c r="C61" s="176"/>
      <c r="D61" s="176"/>
      <c r="E61" s="169" t="s">
        <v>163</v>
      </c>
      <c r="F61" s="166"/>
      <c r="G61" s="183">
        <f>SUBTOTAL(109,Table19[EXTENDED TOTAL])</f>
        <v>378092.93</v>
      </c>
      <c r="H61" s="184"/>
      <c r="I61" s="183">
        <f>SUM(I49:I60)</f>
        <v>404070</v>
      </c>
      <c r="J61" s="184"/>
      <c r="K61" s="185">
        <f>SUM(K49:K60)</f>
        <v>677796.5</v>
      </c>
      <c r="L61" s="158"/>
      <c r="N61" s="158"/>
      <c r="O61" s="158"/>
      <c r="P61" s="158"/>
      <c r="Q61" s="158"/>
      <c r="V61" s="158"/>
      <c r="W61" s="158"/>
      <c r="X61" s="165"/>
      <c r="Y61" s="149"/>
    </row>
    <row r="62" spans="1:25" ht="16" thickBot="1" x14ac:dyDescent="0.4">
      <c r="A62" s="179"/>
      <c r="B62" s="176"/>
      <c r="C62" s="176"/>
      <c r="D62" s="176"/>
      <c r="E62" s="187"/>
      <c r="F62" s="176"/>
      <c r="G62" s="182"/>
      <c r="H62" s="177"/>
      <c r="I62" s="182"/>
      <c r="J62" s="177"/>
      <c r="K62" s="182"/>
      <c r="L62" s="158"/>
      <c r="N62" s="158"/>
      <c r="O62" s="158"/>
      <c r="P62" s="158"/>
      <c r="Q62" s="158"/>
      <c r="V62" s="158"/>
      <c r="W62" s="158"/>
      <c r="X62" s="165"/>
      <c r="Y62" s="149"/>
    </row>
    <row r="63" spans="1:25" ht="15.5" x14ac:dyDescent="0.35">
      <c r="A63" s="179"/>
      <c r="B63" s="176"/>
      <c r="C63" s="176"/>
      <c r="D63" s="176"/>
      <c r="E63" s="188" t="s">
        <v>96</v>
      </c>
      <c r="F63" s="189"/>
      <c r="G63" s="190">
        <v>858857.74</v>
      </c>
      <c r="H63" s="191"/>
      <c r="I63" s="190">
        <v>1052226.25</v>
      </c>
      <c r="J63" s="192"/>
      <c r="K63" s="193">
        <v>1815080</v>
      </c>
      <c r="L63" s="158"/>
      <c r="N63" s="158"/>
      <c r="O63" s="158"/>
      <c r="P63" s="158"/>
      <c r="Q63" s="158"/>
      <c r="V63" s="158"/>
      <c r="W63" s="158"/>
      <c r="X63" s="165"/>
      <c r="Y63" s="149"/>
    </row>
    <row r="64" spans="1:25" ht="16" thickBot="1" x14ac:dyDescent="0.4">
      <c r="A64" s="179"/>
      <c r="B64" s="176"/>
      <c r="C64" s="176"/>
      <c r="D64" s="176"/>
      <c r="E64" s="194" t="s">
        <v>358</v>
      </c>
      <c r="F64" s="195"/>
      <c r="G64" s="196">
        <f>G63+G61</f>
        <v>1236950.67</v>
      </c>
      <c r="H64" s="197"/>
      <c r="I64" s="196">
        <f>I63+I61</f>
        <v>1456296.25</v>
      </c>
      <c r="J64" s="197"/>
      <c r="K64" s="198">
        <f>K63+K61</f>
        <v>2492876.5</v>
      </c>
      <c r="L64" s="158"/>
      <c r="N64" s="158"/>
      <c r="O64" s="158"/>
      <c r="P64" s="158"/>
      <c r="Q64" s="158"/>
      <c r="V64" s="158"/>
      <c r="W64" s="158"/>
      <c r="X64" s="165"/>
      <c r="Y64" s="149"/>
    </row>
    <row r="65" spans="1:25" ht="15.5" x14ac:dyDescent="0.35">
      <c r="A65" s="179"/>
      <c r="B65" s="176"/>
      <c r="C65" s="176"/>
      <c r="D65" s="176"/>
      <c r="E65" s="187"/>
      <c r="F65" s="176"/>
      <c r="G65" s="182"/>
      <c r="H65" s="177"/>
      <c r="I65" s="182"/>
      <c r="J65" s="177"/>
      <c r="K65" s="182"/>
      <c r="L65" s="158"/>
      <c r="N65" s="158"/>
      <c r="O65" s="158"/>
      <c r="P65" s="158"/>
      <c r="Q65" s="158"/>
      <c r="V65" s="158"/>
      <c r="W65" s="158"/>
      <c r="X65" s="165"/>
      <c r="Y65" s="149"/>
    </row>
    <row r="66" spans="1:25" ht="16" thickBot="1" x14ac:dyDescent="0.4">
      <c r="A66" s="177"/>
      <c r="B66" s="177"/>
      <c r="C66" s="177"/>
      <c r="D66" s="177"/>
      <c r="E66" s="177"/>
      <c r="F66" s="177"/>
      <c r="L66" s="149"/>
      <c r="M66" s="149"/>
      <c r="N66" s="149"/>
      <c r="O66" s="149"/>
      <c r="P66" s="149"/>
      <c r="Q66" s="149"/>
      <c r="R66" s="149"/>
      <c r="S66" s="149"/>
      <c r="T66" s="149"/>
      <c r="U66" s="149"/>
      <c r="V66" s="149"/>
      <c r="W66" s="149"/>
      <c r="X66" s="149"/>
      <c r="Y66" s="149"/>
    </row>
    <row r="67" spans="1:25" ht="16" thickBot="1" x14ac:dyDescent="0.4">
      <c r="A67" s="273" t="s">
        <v>896</v>
      </c>
      <c r="B67" s="274"/>
      <c r="C67" s="274"/>
      <c r="D67" s="274"/>
      <c r="E67" s="275"/>
      <c r="F67" s="273" t="s">
        <v>75</v>
      </c>
      <c r="G67" s="275"/>
      <c r="H67" s="276" t="s">
        <v>894</v>
      </c>
      <c r="I67" s="275"/>
      <c r="J67" s="178"/>
      <c r="K67" s="176"/>
      <c r="L67" s="163"/>
      <c r="M67" s="163"/>
      <c r="N67" s="163"/>
      <c r="O67" s="163"/>
      <c r="P67" s="163"/>
      <c r="Q67" s="163"/>
      <c r="S67" s="150"/>
      <c r="T67" s="150"/>
      <c r="U67" s="150"/>
      <c r="V67" s="150"/>
      <c r="W67" s="149"/>
      <c r="X67" s="149"/>
      <c r="Y67" s="149"/>
    </row>
    <row r="68" spans="1:25" ht="15.5" x14ac:dyDescent="0.35">
      <c r="A68" s="172" t="s">
        <v>62</v>
      </c>
      <c r="B68" s="172" t="s">
        <v>98</v>
      </c>
      <c r="C68" s="172" t="s">
        <v>0</v>
      </c>
      <c r="D68" s="172" t="s">
        <v>1</v>
      </c>
      <c r="E68" s="172" t="s">
        <v>64</v>
      </c>
      <c r="F68" s="172" t="s">
        <v>262</v>
      </c>
      <c r="G68" s="172" t="s">
        <v>94</v>
      </c>
      <c r="H68" s="172" t="s">
        <v>355</v>
      </c>
      <c r="I68" s="172" t="s">
        <v>95</v>
      </c>
      <c r="J68" s="177"/>
      <c r="K68" s="177"/>
      <c r="L68" s="149"/>
    </row>
    <row r="69" spans="1:25" ht="14.5" x14ac:dyDescent="0.35">
      <c r="A69" s="151">
        <v>1</v>
      </c>
      <c r="B69" s="171" t="s">
        <v>834</v>
      </c>
      <c r="C69" s="170" t="s">
        <v>102</v>
      </c>
      <c r="D69" s="171" t="s">
        <v>3</v>
      </c>
      <c r="E69" s="151">
        <v>1</v>
      </c>
      <c r="F69" s="153">
        <v>11023.45</v>
      </c>
      <c r="G69" s="153">
        <v>11023.45</v>
      </c>
      <c r="H69" s="153">
        <v>2500</v>
      </c>
      <c r="I69" s="153">
        <v>2500</v>
      </c>
      <c r="J69" s="149"/>
      <c r="K69" s="149"/>
      <c r="L69" s="149"/>
    </row>
    <row r="70" spans="1:25" ht="14.5" x14ac:dyDescent="0.35">
      <c r="A70" s="151">
        <v>2</v>
      </c>
      <c r="B70" s="171" t="s">
        <v>882</v>
      </c>
      <c r="C70" s="170" t="s">
        <v>116</v>
      </c>
      <c r="D70" s="171" t="s">
        <v>883</v>
      </c>
      <c r="E70" s="151">
        <v>83370</v>
      </c>
      <c r="F70" s="154">
        <v>1.2</v>
      </c>
      <c r="G70" s="153">
        <v>100044</v>
      </c>
      <c r="H70" s="154">
        <v>0.55000000000000004</v>
      </c>
      <c r="I70" s="153">
        <v>45853.5</v>
      </c>
      <c r="J70" s="149"/>
      <c r="K70" s="149"/>
      <c r="L70" s="149"/>
    </row>
    <row r="71" spans="1:25" ht="14.5" x14ac:dyDescent="0.35">
      <c r="A71" s="151">
        <v>3</v>
      </c>
      <c r="B71" s="171" t="s">
        <v>110</v>
      </c>
      <c r="C71" s="170" t="s">
        <v>111</v>
      </c>
      <c r="D71" s="171" t="s">
        <v>884</v>
      </c>
      <c r="E71" s="151">
        <v>57025</v>
      </c>
      <c r="F71" s="154">
        <v>1.25</v>
      </c>
      <c r="G71" s="153">
        <v>71281.25</v>
      </c>
      <c r="H71" s="154">
        <v>1.35</v>
      </c>
      <c r="I71" s="153">
        <v>76983.75</v>
      </c>
      <c r="J71" s="149"/>
      <c r="K71" s="149"/>
      <c r="L71" s="149"/>
    </row>
    <row r="72" spans="1:25" ht="14.5" x14ac:dyDescent="0.35">
      <c r="A72" s="151">
        <v>4</v>
      </c>
      <c r="B72" s="171" t="s">
        <v>56</v>
      </c>
      <c r="C72" s="170" t="s">
        <v>885</v>
      </c>
      <c r="D72" s="171" t="s">
        <v>883</v>
      </c>
      <c r="E72" s="151">
        <v>35755</v>
      </c>
      <c r="F72" s="154">
        <v>0.5</v>
      </c>
      <c r="G72" s="153">
        <v>17877.5</v>
      </c>
      <c r="H72" s="154">
        <v>0.8</v>
      </c>
      <c r="I72" s="153">
        <v>28604</v>
      </c>
      <c r="J72" s="149"/>
      <c r="K72" s="149"/>
      <c r="L72" s="149"/>
    </row>
    <row r="73" spans="1:25" ht="14.5" x14ac:dyDescent="0.35">
      <c r="A73" s="151">
        <v>5</v>
      </c>
      <c r="B73" s="171" t="s">
        <v>58</v>
      </c>
      <c r="C73" s="170" t="s">
        <v>886</v>
      </c>
      <c r="D73" s="171" t="s">
        <v>883</v>
      </c>
      <c r="E73" s="151">
        <v>400</v>
      </c>
      <c r="F73" s="154">
        <v>0.75</v>
      </c>
      <c r="G73" s="154">
        <v>300</v>
      </c>
      <c r="H73" s="154">
        <v>1</v>
      </c>
      <c r="I73" s="154">
        <v>400</v>
      </c>
      <c r="J73" s="149"/>
      <c r="K73" s="149"/>
      <c r="L73" s="149"/>
    </row>
    <row r="74" spans="1:25" ht="14.5" x14ac:dyDescent="0.35">
      <c r="A74" s="151">
        <v>6</v>
      </c>
      <c r="B74" s="171" t="s">
        <v>294</v>
      </c>
      <c r="C74" s="170" t="s">
        <v>887</v>
      </c>
      <c r="D74" s="171" t="s">
        <v>883</v>
      </c>
      <c r="E74" s="151">
        <v>35755</v>
      </c>
      <c r="F74" s="154">
        <v>0.75</v>
      </c>
      <c r="G74" s="153">
        <v>26816.25</v>
      </c>
      <c r="H74" s="154">
        <v>0.95</v>
      </c>
      <c r="I74" s="153">
        <v>33967.25</v>
      </c>
      <c r="J74" s="149"/>
      <c r="K74" s="149"/>
      <c r="L74" s="149"/>
    </row>
    <row r="75" spans="1:25" ht="14.5" x14ac:dyDescent="0.35">
      <c r="A75" s="151">
        <v>7</v>
      </c>
      <c r="B75" s="171" t="s">
        <v>115</v>
      </c>
      <c r="C75" s="170" t="s">
        <v>888</v>
      </c>
      <c r="D75" s="171" t="s">
        <v>883</v>
      </c>
      <c r="E75" s="151">
        <v>400</v>
      </c>
      <c r="F75" s="154">
        <v>0.75</v>
      </c>
      <c r="G75" s="154">
        <v>300</v>
      </c>
      <c r="H75" s="154">
        <v>1</v>
      </c>
      <c r="I75" s="154">
        <v>400</v>
      </c>
      <c r="J75" s="149"/>
      <c r="K75" s="149"/>
      <c r="L75" s="149"/>
    </row>
    <row r="76" spans="1:25" ht="15" thickBot="1" x14ac:dyDescent="0.4">
      <c r="A76" s="151">
        <v>8</v>
      </c>
      <c r="B76" s="171" t="s">
        <v>343</v>
      </c>
      <c r="C76" s="170" t="s">
        <v>889</v>
      </c>
      <c r="D76" s="171" t="s">
        <v>883</v>
      </c>
      <c r="E76" s="151">
        <v>7000</v>
      </c>
      <c r="F76" s="154">
        <v>0.55000000000000004</v>
      </c>
      <c r="G76" s="153">
        <v>3850</v>
      </c>
      <c r="H76" s="154">
        <v>1.25</v>
      </c>
      <c r="I76" s="153">
        <v>8750</v>
      </c>
      <c r="J76" s="149"/>
      <c r="K76" s="149"/>
      <c r="L76" s="149"/>
    </row>
    <row r="77" spans="1:25" ht="16" thickBot="1" x14ac:dyDescent="0.4">
      <c r="A77" s="155"/>
      <c r="C77" s="157"/>
      <c r="D77" s="156"/>
      <c r="E77" s="169" t="s">
        <v>895</v>
      </c>
      <c r="F77" s="168"/>
      <c r="G77" s="181">
        <f>SUM(G69:G76)</f>
        <v>231492.45</v>
      </c>
      <c r="H77" s="166"/>
      <c r="I77" s="186">
        <f>SUM(I69:I76)</f>
        <v>197458.5</v>
      </c>
      <c r="J77" s="152"/>
      <c r="K77" s="152"/>
      <c r="L77" s="152"/>
      <c r="M77" s="152"/>
      <c r="N77" s="152"/>
      <c r="O77" s="152"/>
      <c r="P77" s="152"/>
      <c r="Q77" s="152"/>
      <c r="R77" s="152"/>
      <c r="S77" s="152"/>
      <c r="T77" s="152"/>
      <c r="U77" s="152"/>
      <c r="V77" s="152"/>
      <c r="W77" s="152"/>
      <c r="X77" s="149"/>
      <c r="Y77" s="149"/>
    </row>
    <row r="78" spans="1:25" ht="14.5" x14ac:dyDescent="0.35">
      <c r="B78" s="152"/>
      <c r="C78" s="152"/>
      <c r="D78" s="152"/>
      <c r="E78" s="152"/>
      <c r="F78" s="152"/>
      <c r="J78" s="152"/>
      <c r="K78" s="152"/>
      <c r="L78" s="152"/>
      <c r="U78" s="158"/>
      <c r="V78" s="158"/>
      <c r="W78" s="158"/>
      <c r="X78" s="149"/>
      <c r="Y78" s="149"/>
    </row>
    <row r="79" spans="1:25" ht="14.5" x14ac:dyDescent="0.35">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row>
    <row r="80" spans="1:25" ht="14.5" x14ac:dyDescent="0.35">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row>
    <row r="81" spans="1:25" ht="14.5" x14ac:dyDescent="0.35">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row>
  </sheetData>
  <mergeCells count="13">
    <mergeCell ref="N13:R13"/>
    <mergeCell ref="S13:V13"/>
    <mergeCell ref="H67:I67"/>
    <mergeCell ref="F67:G67"/>
    <mergeCell ref="A67:E67"/>
    <mergeCell ref="A13:E13"/>
    <mergeCell ref="F13:G13"/>
    <mergeCell ref="H13:I13"/>
    <mergeCell ref="J13:K13"/>
    <mergeCell ref="A47:E47"/>
    <mergeCell ref="F47:G47"/>
    <mergeCell ref="H47:I47"/>
    <mergeCell ref="J47:K47"/>
  </mergeCells>
  <pageMargins left="0.7" right="0.7" top="0.75" bottom="0.75" header="0.3" footer="0.3"/>
  <pageSetup orientation="portrait" verticalDpi="0" r:id="rId1"/>
  <drawing r:id="rId2"/>
  <tableParts count="3">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B155-9990-427B-96BD-54EB2539F6E7}">
  <dimension ref="A1:W37"/>
  <sheetViews>
    <sheetView zoomScale="60" zoomScaleNormal="60" workbookViewId="0"/>
  </sheetViews>
  <sheetFormatPr defaultColWidth="9.1796875" defaultRowHeight="13" x14ac:dyDescent="0.35"/>
  <cols>
    <col min="1" max="1" width="20.81640625" style="148" bestFit="1" customWidth="1"/>
    <col min="2" max="2" width="44.81640625" style="148" bestFit="1" customWidth="1"/>
    <col min="3" max="3" width="36.7265625" style="148" customWidth="1"/>
    <col min="4" max="4" width="9.81640625" style="148" bestFit="1" customWidth="1"/>
    <col min="5" max="5" width="26.54296875" style="148" bestFit="1" customWidth="1"/>
    <col min="6" max="6" width="20.6328125" style="148" customWidth="1"/>
    <col min="7" max="7" width="22.1796875" style="148" bestFit="1" customWidth="1"/>
    <col min="8" max="8" width="16.453125" style="148" bestFit="1" customWidth="1"/>
    <col min="9" max="9" width="23.1796875" style="148" bestFit="1" customWidth="1"/>
    <col min="10" max="10" width="14.81640625" style="148" bestFit="1" customWidth="1"/>
    <col min="11" max="12" width="13.453125" style="148" bestFit="1" customWidth="1"/>
    <col min="13" max="13" width="14.81640625" style="148" bestFit="1" customWidth="1"/>
    <col min="14" max="14" width="13.453125" style="148" bestFit="1" customWidth="1"/>
    <col min="15" max="15" width="16.81640625" style="148" bestFit="1" customWidth="1"/>
    <col min="16" max="16" width="16.26953125" style="148" bestFit="1" customWidth="1"/>
    <col min="17" max="18" width="14.453125" style="148" bestFit="1" customWidth="1"/>
    <col min="19" max="20" width="16.81640625" style="148" bestFit="1" customWidth="1"/>
    <col min="21" max="21" width="2.81640625" style="148" customWidth="1"/>
    <col min="22" max="16384" width="9.1796875" style="148"/>
  </cols>
  <sheetData>
    <row r="1" spans="1:23" ht="14.5" x14ac:dyDescent="0.35">
      <c r="A1" s="83"/>
      <c r="B1" s="83"/>
    </row>
    <row r="2" spans="1:23" ht="14.5" x14ac:dyDescent="0.35">
      <c r="A2" s="83"/>
      <c r="B2" s="83"/>
    </row>
    <row r="3" spans="1:23" ht="15.5" x14ac:dyDescent="0.35">
      <c r="A3" s="119" t="s">
        <v>65</v>
      </c>
      <c r="B3" s="83" t="s">
        <v>724</v>
      </c>
    </row>
    <row r="4" spans="1:23" ht="15.5" x14ac:dyDescent="0.35">
      <c r="A4" s="119" t="s">
        <v>67</v>
      </c>
      <c r="B4" s="83" t="str">
        <f>VLOOKUP(B3,DATA!$A$2:$E$80,3)</f>
        <v>Bristol/Johnson/Kingsport</v>
      </c>
    </row>
    <row r="5" spans="1:23" ht="15.5" x14ac:dyDescent="0.35">
      <c r="A5" s="119" t="s">
        <v>69</v>
      </c>
      <c r="B5" s="83" t="str">
        <f>VLOOKUP(B3,DATA!$A$2:$E$80,4)</f>
        <v>Tri-Cities Regional</v>
      </c>
    </row>
    <row r="6" spans="1:23" ht="15.5" x14ac:dyDescent="0.35">
      <c r="A6" s="119" t="s">
        <v>70</v>
      </c>
      <c r="B6" s="83" t="s">
        <v>1116</v>
      </c>
    </row>
    <row r="7" spans="1:23" ht="15.5" x14ac:dyDescent="0.35">
      <c r="A7" s="119" t="s">
        <v>71</v>
      </c>
      <c r="B7" s="83" t="s">
        <v>1051</v>
      </c>
    </row>
    <row r="8" spans="1:23" ht="15.5" x14ac:dyDescent="0.35">
      <c r="A8" s="119" t="s">
        <v>72</v>
      </c>
      <c r="B8" s="120">
        <v>44756</v>
      </c>
    </row>
    <row r="9" spans="1:23" ht="15.5" x14ac:dyDescent="0.35">
      <c r="A9" s="119" t="s">
        <v>66</v>
      </c>
      <c r="B9" s="83" t="str">
        <f>VLOOKUP(B3,DATA!$A$2:$E$80,2)</f>
        <v>Sullivan</v>
      </c>
    </row>
    <row r="10" spans="1:23" ht="15.5" x14ac:dyDescent="0.35">
      <c r="A10" s="119" t="s">
        <v>68</v>
      </c>
      <c r="B10" s="83" t="str">
        <f>VLOOKUP(B3,DATA!$A$2:$E$80,5)</f>
        <v>East</v>
      </c>
    </row>
    <row r="12" spans="1:23" ht="15" thickBot="1" x14ac:dyDescent="0.4">
      <c r="A12" s="163"/>
      <c r="B12" s="150"/>
      <c r="C12" s="150"/>
      <c r="D12" s="150"/>
      <c r="E12" s="150"/>
      <c r="F12" s="150"/>
      <c r="G12" s="150"/>
      <c r="H12" s="150"/>
      <c r="I12" s="150"/>
      <c r="J12" s="150"/>
      <c r="K12" s="150"/>
      <c r="L12" s="150"/>
      <c r="M12" s="150"/>
      <c r="N12" s="150"/>
      <c r="O12" s="150"/>
      <c r="P12" s="150"/>
      <c r="Q12" s="150"/>
      <c r="R12" s="150"/>
      <c r="S12" s="150"/>
      <c r="T12" s="150"/>
      <c r="U12" s="150"/>
      <c r="V12" s="149"/>
      <c r="W12" s="149"/>
    </row>
    <row r="13" spans="1:23" ht="16" thickBot="1" x14ac:dyDescent="0.4">
      <c r="A13" s="273" t="s">
        <v>1117</v>
      </c>
      <c r="B13" s="274"/>
      <c r="C13" s="274"/>
      <c r="D13" s="274"/>
      <c r="E13" s="275"/>
      <c r="F13" s="276" t="s">
        <v>75</v>
      </c>
      <c r="G13" s="277"/>
      <c r="H13" s="276" t="s">
        <v>1090</v>
      </c>
      <c r="I13" s="277"/>
      <c r="J13" s="150"/>
      <c r="K13" s="150"/>
      <c r="L13" s="278"/>
      <c r="M13" s="279"/>
      <c r="N13" s="279"/>
      <c r="O13" s="279"/>
      <c r="P13" s="279"/>
      <c r="Q13" s="280"/>
      <c r="R13" s="281"/>
      <c r="S13" s="281"/>
      <c r="T13" s="281"/>
      <c r="U13" s="149"/>
      <c r="V13" s="149"/>
      <c r="W13" s="149"/>
    </row>
    <row r="14" spans="1:23" ht="15.5" x14ac:dyDescent="0.35">
      <c r="A14" s="180" t="s">
        <v>62</v>
      </c>
      <c r="B14" s="180" t="s">
        <v>98</v>
      </c>
      <c r="C14" s="180" t="s">
        <v>0</v>
      </c>
      <c r="D14" s="180" t="s">
        <v>1</v>
      </c>
      <c r="E14" s="180" t="s">
        <v>64</v>
      </c>
      <c r="F14" s="180" t="s">
        <v>262</v>
      </c>
      <c r="G14" s="180" t="s">
        <v>94</v>
      </c>
      <c r="H14" s="180" t="s">
        <v>355</v>
      </c>
      <c r="I14" s="180" t="s">
        <v>95</v>
      </c>
      <c r="J14" s="149"/>
      <c r="K14" s="149"/>
      <c r="L14" s="149"/>
    </row>
    <row r="15" spans="1:23" ht="14.5" x14ac:dyDescent="0.35">
      <c r="A15" s="151">
        <v>1</v>
      </c>
      <c r="B15" s="221" t="s">
        <v>1091</v>
      </c>
      <c r="C15" s="220" t="s">
        <v>102</v>
      </c>
      <c r="D15" s="221" t="s">
        <v>3</v>
      </c>
      <c r="E15" s="151">
        <v>1</v>
      </c>
      <c r="F15" s="231">
        <v>50405</v>
      </c>
      <c r="G15" s="231">
        <f>SUM(E15*F15)</f>
        <v>50405</v>
      </c>
      <c r="H15" s="287">
        <v>105000</v>
      </c>
      <c r="I15" s="153">
        <f t="shared" ref="I15:I32" si="0">SUM(E15*H15)</f>
        <v>105000</v>
      </c>
      <c r="J15" s="149"/>
      <c r="K15" s="149"/>
      <c r="L15" s="149"/>
    </row>
    <row r="16" spans="1:23" ht="14.5" x14ac:dyDescent="0.35">
      <c r="A16" s="151">
        <v>2</v>
      </c>
      <c r="B16" s="221" t="s">
        <v>1092</v>
      </c>
      <c r="C16" s="220" t="s">
        <v>1100</v>
      </c>
      <c r="D16" s="221" t="s">
        <v>3</v>
      </c>
      <c r="E16" s="151">
        <v>1</v>
      </c>
      <c r="F16" s="231">
        <v>50000</v>
      </c>
      <c r="G16" s="231">
        <f t="shared" ref="G16:G32" si="1">SUM(E16*F16)</f>
        <v>50000</v>
      </c>
      <c r="H16" s="287">
        <v>73250</v>
      </c>
      <c r="I16" s="153">
        <f t="shared" si="0"/>
        <v>73250</v>
      </c>
      <c r="J16" s="149"/>
      <c r="K16" s="149"/>
      <c r="L16" s="149"/>
    </row>
    <row r="17" spans="1:12" ht="14.5" x14ac:dyDescent="0.35">
      <c r="A17" s="151">
        <v>3</v>
      </c>
      <c r="B17" s="221" t="s">
        <v>1093</v>
      </c>
      <c r="C17" s="220" t="s">
        <v>1101</v>
      </c>
      <c r="D17" s="221" t="s">
        <v>8</v>
      </c>
      <c r="E17" s="151">
        <v>1500</v>
      </c>
      <c r="F17" s="231">
        <v>15</v>
      </c>
      <c r="G17" s="231">
        <f t="shared" si="1"/>
        <v>22500</v>
      </c>
      <c r="H17" s="287">
        <v>19</v>
      </c>
      <c r="I17" s="153">
        <f t="shared" si="0"/>
        <v>28500</v>
      </c>
      <c r="J17" s="149"/>
      <c r="K17" s="149"/>
      <c r="L17" s="149"/>
    </row>
    <row r="18" spans="1:12" ht="29" x14ac:dyDescent="0.35">
      <c r="A18" s="151">
        <v>4</v>
      </c>
      <c r="B18" s="221" t="s">
        <v>1094</v>
      </c>
      <c r="C18" s="220" t="s">
        <v>1102</v>
      </c>
      <c r="D18" s="221" t="s">
        <v>3</v>
      </c>
      <c r="E18" s="151">
        <v>1</v>
      </c>
      <c r="F18" s="231">
        <v>115000</v>
      </c>
      <c r="G18" s="231">
        <f t="shared" si="1"/>
        <v>115000</v>
      </c>
      <c r="H18" s="287">
        <v>144700</v>
      </c>
      <c r="I18" s="153">
        <f t="shared" si="0"/>
        <v>144700</v>
      </c>
      <c r="J18" s="149"/>
      <c r="K18" s="149"/>
      <c r="L18" s="149"/>
    </row>
    <row r="19" spans="1:12" ht="14.5" x14ac:dyDescent="0.35">
      <c r="A19" s="151">
        <v>5</v>
      </c>
      <c r="B19" s="221" t="s">
        <v>1095</v>
      </c>
      <c r="C19" s="220" t="s">
        <v>1103</v>
      </c>
      <c r="D19" s="221" t="s">
        <v>21</v>
      </c>
      <c r="E19" s="151">
        <v>7500</v>
      </c>
      <c r="F19" s="231">
        <v>12</v>
      </c>
      <c r="G19" s="231">
        <f t="shared" si="1"/>
        <v>90000</v>
      </c>
      <c r="H19" s="287">
        <v>24.75</v>
      </c>
      <c r="I19" s="153">
        <f t="shared" si="0"/>
        <v>185625</v>
      </c>
      <c r="J19" s="149"/>
      <c r="K19" s="149"/>
      <c r="L19" s="149"/>
    </row>
    <row r="20" spans="1:12" ht="14.5" x14ac:dyDescent="0.35">
      <c r="A20" s="151">
        <v>6</v>
      </c>
      <c r="B20" s="221" t="s">
        <v>1096</v>
      </c>
      <c r="C20" s="220" t="s">
        <v>1104</v>
      </c>
      <c r="D20" s="221" t="s">
        <v>21</v>
      </c>
      <c r="E20" s="151">
        <v>150</v>
      </c>
      <c r="F20" s="231">
        <v>50</v>
      </c>
      <c r="G20" s="231">
        <f t="shared" si="1"/>
        <v>7500</v>
      </c>
      <c r="H20" s="287">
        <v>282</v>
      </c>
      <c r="I20" s="153">
        <f t="shared" si="0"/>
        <v>42300</v>
      </c>
      <c r="J20" s="149"/>
      <c r="K20" s="149"/>
      <c r="L20" s="149"/>
    </row>
    <row r="21" spans="1:12" ht="14.5" x14ac:dyDescent="0.35">
      <c r="A21" s="151">
        <v>7</v>
      </c>
      <c r="B21" s="221" t="s">
        <v>1097</v>
      </c>
      <c r="C21" s="220" t="s">
        <v>1105</v>
      </c>
      <c r="D21" s="221" t="s">
        <v>8</v>
      </c>
      <c r="E21" s="151">
        <v>1000</v>
      </c>
      <c r="F21" s="231">
        <v>50</v>
      </c>
      <c r="G21" s="231">
        <f t="shared" si="1"/>
        <v>50000</v>
      </c>
      <c r="H21" s="287">
        <v>116</v>
      </c>
      <c r="I21" s="153">
        <f t="shared" si="0"/>
        <v>116000</v>
      </c>
      <c r="J21" s="149"/>
      <c r="K21" s="149"/>
      <c r="L21" s="149"/>
    </row>
    <row r="22" spans="1:12" ht="14.5" x14ac:dyDescent="0.35">
      <c r="A22" s="151">
        <v>8</v>
      </c>
      <c r="B22" s="221" t="s">
        <v>1098</v>
      </c>
      <c r="C22" s="220" t="s">
        <v>1106</v>
      </c>
      <c r="D22" s="221" t="s">
        <v>3</v>
      </c>
      <c r="E22" s="151">
        <v>1</v>
      </c>
      <c r="F22" s="231">
        <v>15000</v>
      </c>
      <c r="G22" s="231">
        <f t="shared" si="1"/>
        <v>15000</v>
      </c>
      <c r="H22" s="287">
        <v>40900</v>
      </c>
      <c r="I22" s="153">
        <f t="shared" si="0"/>
        <v>40900</v>
      </c>
      <c r="J22" s="149"/>
      <c r="K22" s="149"/>
      <c r="L22" s="149"/>
    </row>
    <row r="23" spans="1:12" ht="14.5" x14ac:dyDescent="0.35">
      <c r="A23" s="151">
        <v>9</v>
      </c>
      <c r="B23" s="221" t="s">
        <v>46</v>
      </c>
      <c r="C23" s="220" t="s">
        <v>1107</v>
      </c>
      <c r="D23" s="221" t="s">
        <v>3</v>
      </c>
      <c r="E23" s="151">
        <v>1</v>
      </c>
      <c r="F23" s="231">
        <v>50000</v>
      </c>
      <c r="G23" s="231">
        <f t="shared" si="1"/>
        <v>50000</v>
      </c>
      <c r="H23" s="287">
        <v>94500</v>
      </c>
      <c r="I23" s="153">
        <f t="shared" si="0"/>
        <v>94500</v>
      </c>
      <c r="J23" s="149"/>
      <c r="K23" s="149"/>
      <c r="L23" s="149"/>
    </row>
    <row r="24" spans="1:12" ht="29" x14ac:dyDescent="0.35">
      <c r="A24" s="151">
        <v>10</v>
      </c>
      <c r="B24" s="221" t="s">
        <v>56</v>
      </c>
      <c r="C24" s="220" t="s">
        <v>1108</v>
      </c>
      <c r="D24" s="221" t="s">
        <v>57</v>
      </c>
      <c r="E24" s="151">
        <v>70000</v>
      </c>
      <c r="F24" s="231">
        <v>1</v>
      </c>
      <c r="G24" s="231">
        <f t="shared" si="1"/>
        <v>70000</v>
      </c>
      <c r="H24" s="287">
        <v>1.6</v>
      </c>
      <c r="I24" s="153">
        <f t="shared" si="0"/>
        <v>112000</v>
      </c>
      <c r="J24" s="149"/>
      <c r="K24" s="149"/>
      <c r="L24" s="149"/>
    </row>
    <row r="25" spans="1:12" ht="14.5" x14ac:dyDescent="0.35">
      <c r="A25" s="151">
        <v>11</v>
      </c>
      <c r="B25" s="221" t="s">
        <v>1099</v>
      </c>
      <c r="C25" s="220" t="s">
        <v>300</v>
      </c>
      <c r="D25" s="221" t="s">
        <v>8</v>
      </c>
      <c r="E25" s="151">
        <v>5050</v>
      </c>
      <c r="F25" s="231">
        <v>2</v>
      </c>
      <c r="G25" s="231">
        <f t="shared" si="1"/>
        <v>10100</v>
      </c>
      <c r="H25" s="287">
        <v>0.45</v>
      </c>
      <c r="I25" s="153">
        <f t="shared" si="0"/>
        <v>2272.5</v>
      </c>
      <c r="J25" s="149"/>
      <c r="K25" s="149"/>
      <c r="L25" s="149"/>
    </row>
    <row r="26" spans="1:12" ht="14.5" x14ac:dyDescent="0.35">
      <c r="A26" s="151">
        <v>12</v>
      </c>
      <c r="B26" s="221" t="s">
        <v>943</v>
      </c>
      <c r="C26" s="220" t="s">
        <v>983</v>
      </c>
      <c r="D26" s="221" t="s">
        <v>8</v>
      </c>
      <c r="E26" s="151">
        <v>5050</v>
      </c>
      <c r="F26" s="231">
        <v>2</v>
      </c>
      <c r="G26" s="231">
        <f t="shared" si="1"/>
        <v>10100</v>
      </c>
      <c r="H26" s="287">
        <v>1.4</v>
      </c>
      <c r="I26" s="153">
        <f t="shared" si="0"/>
        <v>7070</v>
      </c>
      <c r="J26" s="149"/>
      <c r="K26" s="149"/>
      <c r="L26" s="149"/>
    </row>
    <row r="27" spans="1:12" ht="14.5" x14ac:dyDescent="0.35">
      <c r="A27" s="151">
        <v>13</v>
      </c>
      <c r="B27" s="221" t="s">
        <v>20</v>
      </c>
      <c r="C27" s="220" t="s">
        <v>1109</v>
      </c>
      <c r="D27" s="221" t="s">
        <v>16</v>
      </c>
      <c r="E27" s="151">
        <v>1</v>
      </c>
      <c r="F27" s="231">
        <v>1000</v>
      </c>
      <c r="G27" s="231">
        <f t="shared" si="1"/>
        <v>1000</v>
      </c>
      <c r="H27" s="287">
        <v>630</v>
      </c>
      <c r="I27" s="153">
        <f t="shared" si="0"/>
        <v>630</v>
      </c>
      <c r="J27" s="149"/>
      <c r="K27" s="149"/>
      <c r="L27" s="149"/>
    </row>
    <row r="28" spans="1:12" ht="29" x14ac:dyDescent="0.35">
      <c r="A28" s="151">
        <v>14</v>
      </c>
      <c r="B28" s="221" t="s">
        <v>33</v>
      </c>
      <c r="C28" s="220" t="s">
        <v>1110</v>
      </c>
      <c r="D28" s="221" t="s">
        <v>21</v>
      </c>
      <c r="E28" s="151">
        <v>700</v>
      </c>
      <c r="F28" s="231">
        <v>3.25</v>
      </c>
      <c r="G28" s="231">
        <f t="shared" si="1"/>
        <v>2275</v>
      </c>
      <c r="H28" s="287">
        <v>8</v>
      </c>
      <c r="I28" s="153">
        <f t="shared" si="0"/>
        <v>5600</v>
      </c>
      <c r="J28" s="149"/>
      <c r="K28" s="149"/>
      <c r="L28" s="149"/>
    </row>
    <row r="29" spans="1:12" ht="29" x14ac:dyDescent="0.35">
      <c r="A29" s="151">
        <v>15</v>
      </c>
      <c r="B29" s="221" t="s">
        <v>34</v>
      </c>
      <c r="C29" s="220" t="s">
        <v>1111</v>
      </c>
      <c r="D29" s="221" t="s">
        <v>21</v>
      </c>
      <c r="E29" s="151">
        <v>330</v>
      </c>
      <c r="F29" s="231">
        <v>3.25</v>
      </c>
      <c r="G29" s="231">
        <f t="shared" si="1"/>
        <v>1072.5</v>
      </c>
      <c r="H29" s="287">
        <v>4.6500000000000004</v>
      </c>
      <c r="I29" s="153">
        <f t="shared" si="0"/>
        <v>1534.5000000000002</v>
      </c>
      <c r="J29" s="149"/>
      <c r="K29" s="149"/>
      <c r="L29" s="149"/>
    </row>
    <row r="30" spans="1:12" ht="29" x14ac:dyDescent="0.35">
      <c r="A30" s="151">
        <v>16</v>
      </c>
      <c r="B30" s="221" t="s">
        <v>37</v>
      </c>
      <c r="C30" s="220" t="s">
        <v>1112</v>
      </c>
      <c r="D30" s="221" t="s">
        <v>21</v>
      </c>
      <c r="E30" s="151">
        <v>300</v>
      </c>
      <c r="F30" s="231">
        <v>15</v>
      </c>
      <c r="G30" s="231">
        <f t="shared" si="1"/>
        <v>4500</v>
      </c>
      <c r="H30" s="287">
        <v>16.5</v>
      </c>
      <c r="I30" s="153">
        <f t="shared" si="0"/>
        <v>4950</v>
      </c>
      <c r="J30" s="149"/>
      <c r="K30" s="149"/>
      <c r="L30" s="149"/>
    </row>
    <row r="31" spans="1:12" ht="29" x14ac:dyDescent="0.35">
      <c r="A31" s="151">
        <v>17</v>
      </c>
      <c r="B31" s="221" t="s">
        <v>42</v>
      </c>
      <c r="C31" s="220" t="s">
        <v>1113</v>
      </c>
      <c r="D31" s="221" t="s">
        <v>16</v>
      </c>
      <c r="E31" s="151">
        <v>2</v>
      </c>
      <c r="F31" s="231">
        <v>2000</v>
      </c>
      <c r="G31" s="231">
        <f t="shared" si="1"/>
        <v>4000</v>
      </c>
      <c r="H31" s="287">
        <v>3180</v>
      </c>
      <c r="I31" s="153">
        <f t="shared" si="0"/>
        <v>6360</v>
      </c>
      <c r="J31" s="149"/>
      <c r="K31" s="149"/>
      <c r="L31" s="149"/>
    </row>
    <row r="32" spans="1:12" ht="14.5" x14ac:dyDescent="0.35">
      <c r="A32" s="151">
        <v>18</v>
      </c>
      <c r="B32" s="221" t="s">
        <v>43</v>
      </c>
      <c r="C32" s="220" t="s">
        <v>1114</v>
      </c>
      <c r="D32" s="221" t="s">
        <v>16</v>
      </c>
      <c r="E32" s="151">
        <v>1</v>
      </c>
      <c r="F32" s="231">
        <v>1000</v>
      </c>
      <c r="G32" s="231">
        <f t="shared" si="1"/>
        <v>1000</v>
      </c>
      <c r="H32" s="287">
        <v>2320</v>
      </c>
      <c r="I32" s="154">
        <f t="shared" si="0"/>
        <v>2320</v>
      </c>
      <c r="J32" s="149"/>
      <c r="K32" s="149"/>
      <c r="L32" s="149"/>
    </row>
    <row r="33" spans="1:23" ht="14.5" x14ac:dyDescent="0.35">
      <c r="A33" s="151"/>
      <c r="B33" s="221"/>
      <c r="C33" s="220"/>
      <c r="D33" s="221"/>
      <c r="E33" s="151"/>
      <c r="F33" s="231"/>
      <c r="G33" s="231"/>
      <c r="H33" s="287"/>
      <c r="I33" s="154"/>
      <c r="J33" s="149"/>
      <c r="K33" s="149"/>
      <c r="L33" s="149"/>
    </row>
    <row r="34" spans="1:23" ht="15.5" x14ac:dyDescent="0.35">
      <c r="A34" s="173"/>
      <c r="B34" s="174"/>
      <c r="C34" s="175"/>
      <c r="D34" s="173"/>
      <c r="E34" s="288" t="s">
        <v>1115</v>
      </c>
      <c r="F34" s="289"/>
      <c r="G34" s="290">
        <f>SUM(G15:G32)</f>
        <v>554452.5</v>
      </c>
      <c r="H34" s="291"/>
      <c r="I34" s="292">
        <f>SUM(I15:I32)</f>
        <v>973512</v>
      </c>
      <c r="J34" s="159"/>
      <c r="K34" s="159"/>
      <c r="L34" s="152"/>
      <c r="M34" s="152"/>
      <c r="N34" s="152"/>
      <c r="O34" s="152"/>
      <c r="P34" s="152"/>
      <c r="Q34" s="152"/>
      <c r="R34" s="152"/>
      <c r="S34" s="152"/>
      <c r="T34" s="152"/>
      <c r="U34" s="152"/>
      <c r="V34" s="149"/>
      <c r="W34" s="149"/>
    </row>
    <row r="35" spans="1:23" x14ac:dyDescent="0.35">
      <c r="F35" s="233"/>
      <c r="G35" s="232"/>
    </row>
    <row r="37" spans="1:23" ht="25.5" customHeight="1" x14ac:dyDescent="0.35"/>
  </sheetData>
  <mergeCells count="6">
    <mergeCell ref="E34:F34"/>
    <mergeCell ref="A13:E13"/>
    <mergeCell ref="F13:G13"/>
    <mergeCell ref="H13:I13"/>
    <mergeCell ref="L13:P13"/>
    <mergeCell ref="Q13:T13"/>
  </mergeCells>
  <phoneticPr fontId="27" type="noConversion"/>
  <pageMargins left="0.7" right="0.7" top="0.75" bottom="0.75" header="0.3" footer="0.3"/>
  <pageSetup orientation="portrait" verticalDpi="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F63E-6015-4360-B456-E762352024B6}">
  <dimension ref="A1:S37"/>
  <sheetViews>
    <sheetView zoomScale="70" zoomScaleNormal="70" workbookViewId="0">
      <selection activeCell="B10" sqref="B10"/>
    </sheetView>
  </sheetViews>
  <sheetFormatPr defaultColWidth="9.1796875" defaultRowHeight="13" x14ac:dyDescent="0.35"/>
  <cols>
    <col min="1" max="1" width="19.453125" style="148" bestFit="1" customWidth="1"/>
    <col min="2" max="2" width="48.6328125" style="148" customWidth="1"/>
    <col min="3" max="3" width="13" style="148" bestFit="1" customWidth="1"/>
    <col min="4" max="4" width="17.81640625" style="148" bestFit="1" customWidth="1"/>
    <col min="5" max="5" width="19.453125" style="148" customWidth="1"/>
    <col min="6" max="6" width="20.6328125" style="148" customWidth="1"/>
    <col min="7" max="7" width="22.1796875" style="148" bestFit="1" customWidth="1"/>
    <col min="8" max="8" width="16.453125" style="148" bestFit="1" customWidth="1"/>
    <col min="9" max="9" width="23.1796875" style="148" bestFit="1" customWidth="1"/>
    <col min="10" max="10" width="23.36328125" style="148" customWidth="1"/>
    <col min="11" max="11" width="21.08984375" style="148" customWidth="1"/>
    <col min="12" max="12" width="16.26953125" style="148" bestFit="1" customWidth="1"/>
    <col min="13" max="14" width="14.453125" style="148" bestFit="1" customWidth="1"/>
    <col min="15" max="16" width="16.81640625" style="148" bestFit="1" customWidth="1"/>
    <col min="17" max="17" width="2.81640625" style="148" customWidth="1"/>
    <col min="18" max="16384" width="9.1796875" style="148"/>
  </cols>
  <sheetData>
    <row r="1" spans="1:19" ht="14.5" x14ac:dyDescent="0.35">
      <c r="A1" s="83"/>
      <c r="B1" s="83"/>
    </row>
    <row r="2" spans="1:19" ht="14.5" x14ac:dyDescent="0.35">
      <c r="A2" s="83"/>
      <c r="B2" s="83"/>
    </row>
    <row r="3" spans="1:19" ht="15.5" x14ac:dyDescent="0.35">
      <c r="A3" s="119" t="s">
        <v>65</v>
      </c>
      <c r="B3" s="83" t="s">
        <v>724</v>
      </c>
    </row>
    <row r="4" spans="1:19" ht="15.5" x14ac:dyDescent="0.35">
      <c r="A4" s="119" t="s">
        <v>67</v>
      </c>
      <c r="B4" s="83" t="str">
        <f>VLOOKUP(B3,DATA!$A$2:$E$80,3)</f>
        <v>Bristol/Johnson/Kingsport</v>
      </c>
    </row>
    <row r="5" spans="1:19" ht="15.5" x14ac:dyDescent="0.35">
      <c r="A5" s="119" t="s">
        <v>69</v>
      </c>
      <c r="B5" s="83" t="str">
        <f>VLOOKUP(B3,DATA!$A$2:$E$80,4)</f>
        <v>Tri-Cities Regional</v>
      </c>
    </row>
    <row r="6" spans="1:19" ht="15.5" x14ac:dyDescent="0.35">
      <c r="A6" s="119" t="s">
        <v>70</v>
      </c>
      <c r="B6" s="83" t="s">
        <v>1122</v>
      </c>
    </row>
    <row r="7" spans="1:19" ht="15.5" x14ac:dyDescent="0.35">
      <c r="A7" s="119" t="s">
        <v>71</v>
      </c>
      <c r="B7" s="83" t="s">
        <v>1051</v>
      </c>
    </row>
    <row r="8" spans="1:19" ht="15.5" x14ac:dyDescent="0.35">
      <c r="A8" s="119" t="s">
        <v>72</v>
      </c>
      <c r="B8" s="120">
        <v>44579</v>
      </c>
    </row>
    <row r="9" spans="1:19" ht="15.5" x14ac:dyDescent="0.35">
      <c r="A9" s="119" t="s">
        <v>66</v>
      </c>
      <c r="B9" s="83" t="str">
        <f>VLOOKUP(B3,DATA!$A$2:$E$80,2)</f>
        <v>Sullivan</v>
      </c>
    </row>
    <row r="10" spans="1:19" ht="15.5" x14ac:dyDescent="0.35">
      <c r="A10" s="119" t="s">
        <v>68</v>
      </c>
      <c r="B10" s="83" t="str">
        <f>VLOOKUP(B3,DATA!$A$2:$E$80,5)</f>
        <v>East</v>
      </c>
    </row>
    <row r="12" spans="1:19" ht="15" thickBot="1" x14ac:dyDescent="0.4">
      <c r="A12" s="163"/>
      <c r="B12" s="150"/>
      <c r="C12" s="150"/>
      <c r="D12" s="150"/>
      <c r="E12" s="150"/>
      <c r="F12" s="150"/>
      <c r="G12" s="150"/>
      <c r="H12" s="150"/>
      <c r="I12" s="150"/>
      <c r="J12" s="150"/>
      <c r="K12" s="150"/>
      <c r="L12" s="150"/>
      <c r="M12" s="150"/>
      <c r="N12" s="150"/>
      <c r="O12" s="150"/>
      <c r="P12" s="150"/>
      <c r="Q12" s="150"/>
      <c r="R12" s="149"/>
      <c r="S12" s="149"/>
    </row>
    <row r="13" spans="1:19" ht="16" customHeight="1" thickBot="1" x14ac:dyDescent="0.4">
      <c r="A13" s="273" t="s">
        <v>1149</v>
      </c>
      <c r="B13" s="274"/>
      <c r="C13" s="274"/>
      <c r="D13" s="300"/>
      <c r="E13" s="276" t="s">
        <v>1121</v>
      </c>
      <c r="F13" s="277"/>
      <c r="G13" s="276" t="s">
        <v>1120</v>
      </c>
      <c r="H13" s="277"/>
      <c r="I13" s="299" t="s">
        <v>1118</v>
      </c>
      <c r="J13" s="327"/>
      <c r="K13" s="322"/>
      <c r="L13" s="163"/>
      <c r="M13" s="280"/>
      <c r="N13" s="280"/>
      <c r="O13" s="280"/>
      <c r="P13" s="280"/>
      <c r="Q13" s="149"/>
      <c r="R13" s="149"/>
      <c r="S13" s="149"/>
    </row>
    <row r="14" spans="1:19" ht="31" x14ac:dyDescent="0.35">
      <c r="A14" s="180" t="s">
        <v>62</v>
      </c>
      <c r="B14" s="180" t="s">
        <v>0</v>
      </c>
      <c r="C14" s="180" t="s">
        <v>1</v>
      </c>
      <c r="D14" s="180" t="s">
        <v>64</v>
      </c>
      <c r="E14" s="180" t="s">
        <v>262</v>
      </c>
      <c r="F14" s="180" t="s">
        <v>94</v>
      </c>
      <c r="G14" s="180" t="s">
        <v>355</v>
      </c>
      <c r="H14" s="180" t="s">
        <v>95</v>
      </c>
      <c r="I14" s="330" t="s">
        <v>1119</v>
      </c>
      <c r="J14" s="327"/>
      <c r="K14" s="322"/>
    </row>
    <row r="15" spans="1:19" ht="14.5" x14ac:dyDescent="0.35">
      <c r="A15" s="151">
        <v>1</v>
      </c>
      <c r="B15" s="321" t="s">
        <v>102</v>
      </c>
      <c r="C15" s="303" t="s">
        <v>1124</v>
      </c>
      <c r="D15" s="151">
        <v>1</v>
      </c>
      <c r="E15" s="231"/>
      <c r="F15" s="302">
        <v>50000</v>
      </c>
      <c r="G15" s="302" t="s">
        <v>1123</v>
      </c>
      <c r="H15" s="302">
        <v>68098</v>
      </c>
      <c r="I15" s="303" t="s">
        <v>1123</v>
      </c>
      <c r="J15" s="328"/>
      <c r="K15" s="323"/>
    </row>
    <row r="16" spans="1:19" ht="14.5" x14ac:dyDescent="0.35">
      <c r="A16" s="151">
        <v>2</v>
      </c>
      <c r="B16" s="321" t="s">
        <v>1125</v>
      </c>
      <c r="C16" s="303" t="s">
        <v>1124</v>
      </c>
      <c r="D16" s="151"/>
      <c r="E16" s="231"/>
      <c r="F16" s="302">
        <v>25000</v>
      </c>
      <c r="G16" s="302"/>
      <c r="H16" s="302">
        <v>11310</v>
      </c>
      <c r="I16" s="303" t="s">
        <v>1123</v>
      </c>
      <c r="J16" s="328"/>
      <c r="K16" s="323"/>
    </row>
    <row r="17" spans="1:19" ht="29" x14ac:dyDescent="0.35">
      <c r="A17" s="151">
        <v>3</v>
      </c>
      <c r="B17" s="321" t="s">
        <v>1126</v>
      </c>
      <c r="C17" s="303" t="s">
        <v>1124</v>
      </c>
      <c r="D17" s="151">
        <v>1</v>
      </c>
      <c r="E17" s="231"/>
      <c r="F17" s="302">
        <v>90000</v>
      </c>
      <c r="G17" s="302"/>
      <c r="H17" s="302">
        <v>84530</v>
      </c>
      <c r="I17" s="303" t="s">
        <v>1123</v>
      </c>
      <c r="J17" s="327"/>
      <c r="K17" s="322"/>
    </row>
    <row r="18" spans="1:19" ht="14.5" x14ac:dyDescent="0.35">
      <c r="A18" s="151">
        <v>4</v>
      </c>
      <c r="B18" s="321" t="s">
        <v>1127</v>
      </c>
      <c r="C18" s="303" t="s">
        <v>1124</v>
      </c>
      <c r="D18" s="151">
        <v>1</v>
      </c>
      <c r="E18" s="231"/>
      <c r="F18" s="302">
        <v>35000</v>
      </c>
      <c r="G18" s="302"/>
      <c r="H18" s="302">
        <v>30926</v>
      </c>
      <c r="I18" s="303" t="s">
        <v>1123</v>
      </c>
      <c r="J18" s="328"/>
      <c r="K18" s="323"/>
    </row>
    <row r="19" spans="1:19" ht="43.5" x14ac:dyDescent="0.35">
      <c r="A19" s="151">
        <v>5</v>
      </c>
      <c r="B19" s="321" t="s">
        <v>1128</v>
      </c>
      <c r="C19" s="303" t="s">
        <v>1129</v>
      </c>
      <c r="D19" s="151">
        <v>10</v>
      </c>
      <c r="E19" s="231"/>
      <c r="F19" s="302">
        <v>30000</v>
      </c>
      <c r="G19" s="302">
        <v>4442</v>
      </c>
      <c r="H19" s="302">
        <v>53304</v>
      </c>
      <c r="I19" s="304">
        <v>-53304</v>
      </c>
      <c r="J19" s="331" t="s">
        <v>1146</v>
      </c>
      <c r="K19" s="324"/>
    </row>
    <row r="20" spans="1:19" ht="29" x14ac:dyDescent="0.35">
      <c r="A20" s="151">
        <v>6</v>
      </c>
      <c r="B20" s="309" t="s">
        <v>1142</v>
      </c>
      <c r="C20" s="303" t="s">
        <v>1129</v>
      </c>
      <c r="D20" s="151">
        <v>8</v>
      </c>
      <c r="E20" s="231"/>
      <c r="F20" s="302">
        <v>30000</v>
      </c>
      <c r="G20" s="302">
        <v>7677.88</v>
      </c>
      <c r="H20" s="302">
        <v>74016</v>
      </c>
      <c r="I20" s="304">
        <v>-12593</v>
      </c>
      <c r="J20" s="331" t="s">
        <v>1147</v>
      </c>
      <c r="K20" s="324"/>
    </row>
    <row r="21" spans="1:19" ht="29" x14ac:dyDescent="0.35">
      <c r="A21" s="151">
        <v>7</v>
      </c>
      <c r="B21" s="321" t="s">
        <v>1130</v>
      </c>
      <c r="C21" s="310" t="s">
        <v>1124</v>
      </c>
      <c r="D21" s="151">
        <v>1</v>
      </c>
      <c r="E21" s="231"/>
      <c r="F21" s="305">
        <v>400000</v>
      </c>
      <c r="G21" s="302"/>
      <c r="H21" s="305">
        <v>391247</v>
      </c>
      <c r="I21" s="306">
        <v>-65000</v>
      </c>
      <c r="J21" s="331" t="s">
        <v>1148</v>
      </c>
      <c r="K21" s="324"/>
    </row>
    <row r="22" spans="1:19" ht="14.5" x14ac:dyDescent="0.35">
      <c r="A22" s="151">
        <v>8</v>
      </c>
      <c r="B22" s="321" t="s">
        <v>1131</v>
      </c>
      <c r="C22" s="303" t="s">
        <v>1124</v>
      </c>
      <c r="D22" s="151">
        <v>1</v>
      </c>
      <c r="E22" s="231"/>
      <c r="F22" s="302">
        <v>800000</v>
      </c>
      <c r="G22" s="302"/>
      <c r="H22" s="302">
        <v>577816</v>
      </c>
      <c r="I22" s="303" t="s">
        <v>1123</v>
      </c>
      <c r="J22" s="328"/>
      <c r="K22" s="325"/>
    </row>
    <row r="23" spans="1:19" ht="14.5" x14ac:dyDescent="0.35">
      <c r="A23" s="151">
        <v>9</v>
      </c>
      <c r="B23" s="321" t="s">
        <v>1132</v>
      </c>
      <c r="C23" s="303" t="s">
        <v>1124</v>
      </c>
      <c r="D23" s="151">
        <v>1</v>
      </c>
      <c r="E23" s="231"/>
      <c r="F23" s="302">
        <v>385000</v>
      </c>
      <c r="G23" s="302"/>
      <c r="H23" s="302">
        <v>353162</v>
      </c>
      <c r="I23" s="303" t="s">
        <v>1123</v>
      </c>
      <c r="J23" s="327"/>
      <c r="K23" s="322"/>
    </row>
    <row r="24" spans="1:19" ht="14.5" x14ac:dyDescent="0.35">
      <c r="A24" s="151">
        <v>10</v>
      </c>
      <c r="B24" s="321" t="s">
        <v>1133</v>
      </c>
      <c r="C24" s="303" t="s">
        <v>1124</v>
      </c>
      <c r="D24" s="151">
        <v>1</v>
      </c>
      <c r="E24" s="231"/>
      <c r="F24" s="302">
        <v>368000</v>
      </c>
      <c r="G24" s="302"/>
      <c r="H24" s="302">
        <v>442940</v>
      </c>
      <c r="I24" s="301"/>
      <c r="J24" s="327"/>
      <c r="K24" s="322"/>
    </row>
    <row r="25" spans="1:19" ht="14.5" x14ac:dyDescent="0.35">
      <c r="A25" s="151"/>
      <c r="B25" s="321" t="s">
        <v>1134</v>
      </c>
      <c r="C25" s="308"/>
      <c r="D25" s="151"/>
      <c r="E25" s="231"/>
      <c r="F25" s="308"/>
      <c r="G25" s="302"/>
      <c r="H25" s="308"/>
      <c r="I25" s="304">
        <v>-13000</v>
      </c>
      <c r="J25" s="328"/>
      <c r="K25" s="323"/>
    </row>
    <row r="26" spans="1:19" ht="14.5" x14ac:dyDescent="0.35">
      <c r="A26" s="151"/>
      <c r="B26" s="321" t="s">
        <v>1135</v>
      </c>
      <c r="C26" s="308"/>
      <c r="D26" s="151"/>
      <c r="E26" s="231"/>
      <c r="F26" s="308"/>
      <c r="G26" s="302"/>
      <c r="H26" s="308"/>
      <c r="I26" s="304">
        <v>-55000</v>
      </c>
      <c r="J26" s="328"/>
      <c r="K26" s="323"/>
    </row>
    <row r="27" spans="1:19" ht="29" x14ac:dyDescent="0.35">
      <c r="A27" s="151"/>
      <c r="B27" s="309" t="s">
        <v>1143</v>
      </c>
      <c r="C27" s="307"/>
      <c r="D27" s="151"/>
      <c r="E27" s="231"/>
      <c r="F27" s="307"/>
      <c r="G27" s="302"/>
      <c r="H27" s="307"/>
      <c r="I27" s="304">
        <v>-22000</v>
      </c>
      <c r="J27" s="327"/>
      <c r="K27" s="322"/>
    </row>
    <row r="28" spans="1:19" ht="29" x14ac:dyDescent="0.35">
      <c r="A28" s="151"/>
      <c r="B28" s="309" t="s">
        <v>1144</v>
      </c>
      <c r="C28" s="307"/>
      <c r="D28" s="151"/>
      <c r="E28" s="231"/>
      <c r="F28" s="307"/>
      <c r="G28" s="302"/>
      <c r="H28" s="307"/>
      <c r="I28" s="304">
        <v>-11000</v>
      </c>
      <c r="J28" s="327"/>
      <c r="K28" s="322"/>
    </row>
    <row r="29" spans="1:19" ht="29" x14ac:dyDescent="0.35">
      <c r="A29" s="316"/>
      <c r="B29" s="321" t="s">
        <v>1136</v>
      </c>
      <c r="C29" s="309"/>
      <c r="D29" s="316"/>
      <c r="E29" s="317"/>
      <c r="F29" s="309"/>
      <c r="G29" s="302"/>
      <c r="H29" s="309"/>
      <c r="I29" s="306">
        <v>-25000</v>
      </c>
      <c r="J29" s="329"/>
      <c r="K29" s="326"/>
    </row>
    <row r="30" spans="1:19" ht="29" x14ac:dyDescent="0.35">
      <c r="A30" s="316"/>
      <c r="B30" s="321" t="s">
        <v>1137</v>
      </c>
      <c r="C30" s="309"/>
      <c r="D30" s="316"/>
      <c r="E30" s="317"/>
      <c r="F30" s="309"/>
      <c r="G30" s="302"/>
      <c r="H30" s="309"/>
      <c r="I30" s="306">
        <v>-19000</v>
      </c>
      <c r="J30" s="329"/>
      <c r="K30" s="326"/>
      <c r="L30" s="152"/>
      <c r="M30" s="152"/>
      <c r="N30" s="152"/>
      <c r="O30" s="152"/>
      <c r="P30" s="152"/>
      <c r="Q30" s="152"/>
      <c r="R30" s="149"/>
      <c r="S30" s="149"/>
    </row>
    <row r="31" spans="1:19" ht="29" x14ac:dyDescent="0.35">
      <c r="A31" s="316"/>
      <c r="B31" s="321" t="s">
        <v>1138</v>
      </c>
      <c r="C31" s="309"/>
      <c r="D31" s="316"/>
      <c r="E31" s="317"/>
      <c r="F31" s="309"/>
      <c r="G31" s="302"/>
      <c r="H31" s="309"/>
      <c r="I31" s="306">
        <v>-26000</v>
      </c>
      <c r="J31" s="329"/>
      <c r="K31" s="326"/>
    </row>
    <row r="32" spans="1:19" ht="29" x14ac:dyDescent="0.35">
      <c r="A32" s="316">
        <v>11</v>
      </c>
      <c r="B32" s="321" t="s">
        <v>1139</v>
      </c>
      <c r="C32" s="310" t="s">
        <v>1124</v>
      </c>
      <c r="D32" s="316">
        <v>1</v>
      </c>
      <c r="E32" s="317"/>
      <c r="F32" s="305">
        <v>45000</v>
      </c>
      <c r="G32" s="302"/>
      <c r="H32" s="305">
        <v>28591</v>
      </c>
      <c r="I32" s="310" t="s">
        <v>1123</v>
      </c>
      <c r="J32" s="329"/>
      <c r="K32" s="326"/>
    </row>
    <row r="33" spans="1:11" ht="25.5" customHeight="1" x14ac:dyDescent="0.35">
      <c r="A33" s="316">
        <v>12</v>
      </c>
      <c r="B33" s="309" t="s">
        <v>1145</v>
      </c>
      <c r="C33" s="303" t="s">
        <v>1124</v>
      </c>
      <c r="D33" s="316">
        <v>1</v>
      </c>
      <c r="E33" s="317"/>
      <c r="F33" s="302">
        <v>100000</v>
      </c>
      <c r="G33" s="302"/>
      <c r="H33" s="302">
        <v>36596</v>
      </c>
      <c r="I33" s="303" t="s">
        <v>1123</v>
      </c>
      <c r="J33" s="327"/>
      <c r="K33" s="322"/>
    </row>
    <row r="34" spans="1:11" ht="43.5" x14ac:dyDescent="0.35">
      <c r="A34" s="316">
        <v>13</v>
      </c>
      <c r="B34" s="321" t="s">
        <v>1140</v>
      </c>
      <c r="C34" s="310" t="s">
        <v>1124</v>
      </c>
      <c r="D34" s="316">
        <v>1</v>
      </c>
      <c r="E34" s="317"/>
      <c r="F34" s="305">
        <v>200000</v>
      </c>
      <c r="G34" s="302"/>
      <c r="H34" s="305">
        <v>264272</v>
      </c>
      <c r="I34" s="306">
        <v>-264272</v>
      </c>
      <c r="J34" s="329"/>
      <c r="K34" s="326"/>
    </row>
    <row r="35" spans="1:11" ht="29" x14ac:dyDescent="0.35">
      <c r="A35" s="316">
        <v>14</v>
      </c>
      <c r="B35" s="321" t="s">
        <v>1141</v>
      </c>
      <c r="C35" s="310" t="s">
        <v>1124</v>
      </c>
      <c r="D35" s="316">
        <v>1</v>
      </c>
      <c r="E35" s="317"/>
      <c r="F35" s="305">
        <v>38000</v>
      </c>
      <c r="G35" s="302"/>
      <c r="H35" s="305">
        <v>34192</v>
      </c>
      <c r="I35" s="306">
        <v>-34192</v>
      </c>
      <c r="J35" s="329"/>
      <c r="K35" s="332"/>
    </row>
    <row r="36" spans="1:11" ht="15.5" x14ac:dyDescent="0.35">
      <c r="A36" s="311"/>
      <c r="B36" s="312"/>
      <c r="C36" s="313"/>
      <c r="D36" s="314" t="s">
        <v>1115</v>
      </c>
      <c r="E36" s="315"/>
      <c r="F36" s="318">
        <f>SUM(F15:F35)</f>
        <v>2596000</v>
      </c>
      <c r="G36" s="319"/>
      <c r="H36" s="320">
        <f>SUM(H15:H35)</f>
        <v>2451000</v>
      </c>
      <c r="I36" s="320">
        <f>SUM(I15:I35)</f>
        <v>-600361</v>
      </c>
      <c r="J36" s="320">
        <v>1850639</v>
      </c>
      <c r="K36" s="333"/>
    </row>
    <row r="37" spans="1:11" x14ac:dyDescent="0.35">
      <c r="F37" s="233"/>
      <c r="G37" s="232"/>
    </row>
  </sheetData>
  <mergeCells count="4">
    <mergeCell ref="M13:P13"/>
    <mergeCell ref="A13:C13"/>
    <mergeCell ref="G13:H13"/>
    <mergeCell ref="E13:F13"/>
  </mergeCells>
  <phoneticPr fontId="27" type="noConversion"/>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CE5B-EBB0-4581-9CD4-20DC173A5E8C}">
  <dimension ref="A1:K80"/>
  <sheetViews>
    <sheetView topLeftCell="A37" workbookViewId="0">
      <selection activeCell="E52" sqref="E52"/>
    </sheetView>
  </sheetViews>
  <sheetFormatPr defaultRowHeight="14.5" x14ac:dyDescent="0.35"/>
  <cols>
    <col min="3" max="3" width="24.54296875" bestFit="1" customWidth="1"/>
    <col min="4" max="4" width="37.1796875" bestFit="1" customWidth="1"/>
  </cols>
  <sheetData>
    <row r="1" spans="1:11" x14ac:dyDescent="0.35">
      <c r="A1" s="36" t="s">
        <v>470</v>
      </c>
      <c r="B1" s="36" t="s">
        <v>471</v>
      </c>
      <c r="C1" s="36" t="s">
        <v>444</v>
      </c>
      <c r="D1" s="36" t="s">
        <v>443</v>
      </c>
      <c r="E1" s="36" t="s">
        <v>472</v>
      </c>
      <c r="F1" s="13"/>
    </row>
    <row r="2" spans="1:11" x14ac:dyDescent="0.35">
      <c r="A2" s="37" t="s">
        <v>473</v>
      </c>
      <c r="B2" t="s">
        <v>474</v>
      </c>
      <c r="C2" t="s">
        <v>475</v>
      </c>
      <c r="D2" t="s">
        <v>476</v>
      </c>
      <c r="E2" t="s">
        <v>463</v>
      </c>
    </row>
    <row r="3" spans="1:11" x14ac:dyDescent="0.35">
      <c r="A3" s="37" t="s">
        <v>477</v>
      </c>
      <c r="B3" t="s">
        <v>478</v>
      </c>
      <c r="C3" t="s">
        <v>479</v>
      </c>
      <c r="D3" t="s">
        <v>479</v>
      </c>
      <c r="E3" t="s">
        <v>467</v>
      </c>
    </row>
    <row r="4" spans="1:11" x14ac:dyDescent="0.35">
      <c r="A4" s="37" t="s">
        <v>480</v>
      </c>
      <c r="B4" t="s">
        <v>481</v>
      </c>
      <c r="C4" t="s">
        <v>482</v>
      </c>
      <c r="D4" t="s">
        <v>483</v>
      </c>
      <c r="E4" t="s">
        <v>467</v>
      </c>
    </row>
    <row r="5" spans="1:11" x14ac:dyDescent="0.35">
      <c r="A5" s="37" t="s">
        <v>484</v>
      </c>
      <c r="B5" t="s">
        <v>485</v>
      </c>
      <c r="C5" t="s">
        <v>486</v>
      </c>
      <c r="D5" t="s">
        <v>487</v>
      </c>
      <c r="E5" t="s">
        <v>488</v>
      </c>
    </row>
    <row r="6" spans="1:11" x14ac:dyDescent="0.35">
      <c r="A6" s="37" t="s">
        <v>489</v>
      </c>
      <c r="B6" t="s">
        <v>490</v>
      </c>
      <c r="C6" t="s">
        <v>491</v>
      </c>
      <c r="D6" t="s">
        <v>492</v>
      </c>
      <c r="E6" t="s">
        <v>463</v>
      </c>
    </row>
    <row r="7" spans="1:11" ht="15.5" x14ac:dyDescent="0.35">
      <c r="A7" s="37" t="s">
        <v>493</v>
      </c>
      <c r="B7" t="s">
        <v>494</v>
      </c>
      <c r="C7" t="s">
        <v>495</v>
      </c>
      <c r="D7" t="s">
        <v>496</v>
      </c>
      <c r="E7" t="s">
        <v>488</v>
      </c>
      <c r="J7" s="2"/>
    </row>
    <row r="8" spans="1:11" ht="15.5" x14ac:dyDescent="0.35">
      <c r="A8" s="37" t="s">
        <v>497</v>
      </c>
      <c r="B8" t="s">
        <v>498</v>
      </c>
      <c r="C8" t="s">
        <v>499</v>
      </c>
      <c r="D8" t="s">
        <v>500</v>
      </c>
      <c r="E8" t="s">
        <v>463</v>
      </c>
      <c r="J8" s="2"/>
    </row>
    <row r="9" spans="1:11" ht="15.5" x14ac:dyDescent="0.35">
      <c r="A9" s="37" t="s">
        <v>501</v>
      </c>
      <c r="B9" t="s">
        <v>502</v>
      </c>
      <c r="C9" t="s">
        <v>503</v>
      </c>
      <c r="D9" t="s">
        <v>504</v>
      </c>
      <c r="E9" t="s">
        <v>467</v>
      </c>
      <c r="J9" s="2"/>
    </row>
    <row r="10" spans="1:11" ht="15.5" x14ac:dyDescent="0.35">
      <c r="A10" s="37" t="s">
        <v>505</v>
      </c>
      <c r="B10" t="s">
        <v>506</v>
      </c>
      <c r="C10" t="s">
        <v>507</v>
      </c>
      <c r="D10" t="s">
        <v>508</v>
      </c>
      <c r="E10" t="s">
        <v>467</v>
      </c>
      <c r="J10" s="2"/>
    </row>
    <row r="11" spans="1:11" ht="15.5" x14ac:dyDescent="0.35">
      <c r="A11" s="37" t="s">
        <v>509</v>
      </c>
      <c r="B11" t="s">
        <v>510</v>
      </c>
      <c r="C11" t="s">
        <v>511</v>
      </c>
      <c r="D11" t="s">
        <v>512</v>
      </c>
      <c r="E11" t="s">
        <v>463</v>
      </c>
      <c r="J11" s="2"/>
    </row>
    <row r="12" spans="1:11" ht="15.5" x14ac:dyDescent="0.35">
      <c r="A12" s="37" t="s">
        <v>73</v>
      </c>
      <c r="B12" t="s">
        <v>462</v>
      </c>
      <c r="C12" t="s">
        <v>152</v>
      </c>
      <c r="D12" t="s">
        <v>153</v>
      </c>
      <c r="E12" t="s">
        <v>463</v>
      </c>
      <c r="J12" s="2"/>
      <c r="K12" s="3"/>
    </row>
    <row r="13" spans="1:11" ht="15.5" x14ac:dyDescent="0.35">
      <c r="A13" s="37" t="s">
        <v>513</v>
      </c>
      <c r="B13" t="s">
        <v>514</v>
      </c>
      <c r="C13" t="s">
        <v>515</v>
      </c>
      <c r="D13" t="s">
        <v>516</v>
      </c>
      <c r="E13" t="s">
        <v>467</v>
      </c>
      <c r="J13" s="2"/>
    </row>
    <row r="14" spans="1:11" ht="15.5" x14ac:dyDescent="0.35">
      <c r="A14" s="37" t="s">
        <v>517</v>
      </c>
      <c r="B14" t="s">
        <v>518</v>
      </c>
      <c r="C14" t="s">
        <v>519</v>
      </c>
      <c r="D14" t="s">
        <v>520</v>
      </c>
      <c r="E14" t="s">
        <v>463</v>
      </c>
      <c r="J14" s="2"/>
    </row>
    <row r="15" spans="1:11" x14ac:dyDescent="0.35">
      <c r="A15" s="37" t="s">
        <v>521</v>
      </c>
      <c r="B15" t="s">
        <v>522</v>
      </c>
      <c r="C15" t="s">
        <v>523</v>
      </c>
      <c r="D15" t="s">
        <v>524</v>
      </c>
      <c r="E15" t="s">
        <v>463</v>
      </c>
    </row>
    <row r="16" spans="1:11" x14ac:dyDescent="0.35">
      <c r="A16" s="37" t="s">
        <v>525</v>
      </c>
      <c r="B16" t="s">
        <v>526</v>
      </c>
      <c r="C16" t="s">
        <v>527</v>
      </c>
      <c r="D16" t="s">
        <v>528</v>
      </c>
      <c r="E16" t="s">
        <v>488</v>
      </c>
    </row>
    <row r="17" spans="1:5" x14ac:dyDescent="0.35">
      <c r="A17" s="37" t="s">
        <v>529</v>
      </c>
      <c r="B17" t="s">
        <v>530</v>
      </c>
      <c r="C17" t="s">
        <v>531</v>
      </c>
      <c r="D17" t="s">
        <v>532</v>
      </c>
      <c r="E17" t="s">
        <v>467</v>
      </c>
    </row>
    <row r="18" spans="1:5" x14ac:dyDescent="0.35">
      <c r="A18" s="37" t="s">
        <v>353</v>
      </c>
      <c r="B18" t="s">
        <v>468</v>
      </c>
      <c r="C18" t="s">
        <v>448</v>
      </c>
      <c r="D18" t="s">
        <v>449</v>
      </c>
      <c r="E18" t="s">
        <v>463</v>
      </c>
    </row>
    <row r="19" spans="1:5" x14ac:dyDescent="0.35">
      <c r="A19" s="37" t="s">
        <v>533</v>
      </c>
      <c r="B19" t="s">
        <v>534</v>
      </c>
      <c r="C19" t="s">
        <v>535</v>
      </c>
      <c r="D19" t="s">
        <v>536</v>
      </c>
      <c r="E19" t="s">
        <v>463</v>
      </c>
    </row>
    <row r="20" spans="1:5" x14ac:dyDescent="0.35">
      <c r="A20" s="37" t="s">
        <v>537</v>
      </c>
      <c r="B20" t="s">
        <v>538</v>
      </c>
      <c r="C20" t="s">
        <v>539</v>
      </c>
      <c r="D20" t="s">
        <v>540</v>
      </c>
      <c r="E20" t="s">
        <v>488</v>
      </c>
    </row>
    <row r="21" spans="1:5" x14ac:dyDescent="0.35">
      <c r="A21" s="37" t="s">
        <v>541</v>
      </c>
      <c r="B21" t="s">
        <v>542</v>
      </c>
      <c r="C21" t="s">
        <v>543</v>
      </c>
      <c r="D21" t="s">
        <v>544</v>
      </c>
      <c r="E21" t="s">
        <v>467</v>
      </c>
    </row>
    <row r="22" spans="1:5" x14ac:dyDescent="0.35">
      <c r="A22" s="37" t="s">
        <v>545</v>
      </c>
      <c r="B22" t="s">
        <v>546</v>
      </c>
      <c r="C22" t="s">
        <v>547</v>
      </c>
      <c r="D22" t="s">
        <v>548</v>
      </c>
      <c r="E22" t="s">
        <v>463</v>
      </c>
    </row>
    <row r="23" spans="1:5" x14ac:dyDescent="0.35">
      <c r="A23" s="37" t="s">
        <v>549</v>
      </c>
      <c r="B23" t="s">
        <v>506</v>
      </c>
      <c r="C23" t="s">
        <v>494</v>
      </c>
      <c r="D23" t="s">
        <v>550</v>
      </c>
      <c r="E23" t="s">
        <v>467</v>
      </c>
    </row>
    <row r="24" spans="1:5" x14ac:dyDescent="0.35">
      <c r="A24" s="37" t="s">
        <v>551</v>
      </c>
      <c r="B24" t="s">
        <v>552</v>
      </c>
      <c r="C24" t="s">
        <v>553</v>
      </c>
      <c r="D24" t="s">
        <v>554</v>
      </c>
      <c r="E24" t="s">
        <v>467</v>
      </c>
    </row>
    <row r="25" spans="1:5" x14ac:dyDescent="0.35">
      <c r="A25" s="37" t="s">
        <v>555</v>
      </c>
      <c r="B25" t="s">
        <v>556</v>
      </c>
      <c r="C25" t="s">
        <v>557</v>
      </c>
      <c r="D25" t="s">
        <v>558</v>
      </c>
      <c r="E25" t="s">
        <v>463</v>
      </c>
    </row>
    <row r="26" spans="1:5" x14ac:dyDescent="0.35">
      <c r="A26" s="37" t="s">
        <v>559</v>
      </c>
      <c r="B26" t="s">
        <v>560</v>
      </c>
      <c r="C26" t="s">
        <v>561</v>
      </c>
      <c r="D26" t="s">
        <v>562</v>
      </c>
      <c r="E26" t="s">
        <v>463</v>
      </c>
    </row>
    <row r="27" spans="1:5" x14ac:dyDescent="0.35">
      <c r="A27" s="37" t="s">
        <v>563</v>
      </c>
      <c r="B27" t="s">
        <v>502</v>
      </c>
      <c r="C27" t="s">
        <v>503</v>
      </c>
      <c r="D27" t="s">
        <v>564</v>
      </c>
      <c r="E27" t="s">
        <v>467</v>
      </c>
    </row>
    <row r="28" spans="1:5" x14ac:dyDescent="0.35">
      <c r="A28" s="37" t="s">
        <v>565</v>
      </c>
      <c r="B28" t="s">
        <v>566</v>
      </c>
      <c r="C28" t="s">
        <v>567</v>
      </c>
      <c r="D28" t="s">
        <v>568</v>
      </c>
      <c r="E28" t="s">
        <v>463</v>
      </c>
    </row>
    <row r="29" spans="1:5" x14ac:dyDescent="0.35">
      <c r="A29" s="37" t="s">
        <v>170</v>
      </c>
      <c r="B29" t="s">
        <v>466</v>
      </c>
      <c r="C29" t="s">
        <v>446</v>
      </c>
      <c r="D29" t="s">
        <v>447</v>
      </c>
      <c r="E29" t="s">
        <v>467</v>
      </c>
    </row>
    <row r="30" spans="1:5" x14ac:dyDescent="0.35">
      <c r="A30" s="37" t="s">
        <v>439</v>
      </c>
      <c r="B30" t="s">
        <v>469</v>
      </c>
      <c r="C30" t="s">
        <v>452</v>
      </c>
      <c r="D30" t="s">
        <v>453</v>
      </c>
      <c r="E30" t="s">
        <v>467</v>
      </c>
    </row>
    <row r="31" spans="1:5" x14ac:dyDescent="0.35">
      <c r="A31" s="37" t="s">
        <v>569</v>
      </c>
      <c r="B31" t="s">
        <v>570</v>
      </c>
      <c r="C31" t="s">
        <v>571</v>
      </c>
      <c r="D31" t="s">
        <v>572</v>
      </c>
      <c r="E31" t="s">
        <v>488</v>
      </c>
    </row>
    <row r="32" spans="1:5" x14ac:dyDescent="0.35">
      <c r="A32" s="37" t="s">
        <v>573</v>
      </c>
      <c r="B32" t="s">
        <v>502</v>
      </c>
      <c r="C32" t="s">
        <v>574</v>
      </c>
      <c r="D32" t="s">
        <v>575</v>
      </c>
      <c r="E32" t="s">
        <v>467</v>
      </c>
    </row>
    <row r="33" spans="1:5" x14ac:dyDescent="0.35">
      <c r="A33" s="37" t="s">
        <v>576</v>
      </c>
      <c r="B33" t="s">
        <v>538</v>
      </c>
      <c r="C33" t="s">
        <v>577</v>
      </c>
      <c r="D33" t="s">
        <v>578</v>
      </c>
      <c r="E33" t="s">
        <v>488</v>
      </c>
    </row>
    <row r="34" spans="1:5" x14ac:dyDescent="0.35">
      <c r="A34" s="37" t="s">
        <v>91</v>
      </c>
      <c r="B34" t="s">
        <v>464</v>
      </c>
      <c r="C34" t="s">
        <v>150</v>
      </c>
      <c r="D34" t="s">
        <v>151</v>
      </c>
      <c r="E34" t="s">
        <v>463</v>
      </c>
    </row>
    <row r="35" spans="1:5" x14ac:dyDescent="0.35">
      <c r="A35" s="37" t="s">
        <v>579</v>
      </c>
      <c r="B35" t="s">
        <v>580</v>
      </c>
      <c r="C35" t="s">
        <v>581</v>
      </c>
      <c r="D35" t="s">
        <v>582</v>
      </c>
      <c r="E35" t="s">
        <v>467</v>
      </c>
    </row>
    <row r="36" spans="1:5" x14ac:dyDescent="0.35">
      <c r="A36" s="37" t="s">
        <v>583</v>
      </c>
      <c r="B36" t="s">
        <v>584</v>
      </c>
      <c r="C36" t="s">
        <v>585</v>
      </c>
      <c r="D36" t="s">
        <v>586</v>
      </c>
      <c r="E36" t="s">
        <v>463</v>
      </c>
    </row>
    <row r="37" spans="1:5" x14ac:dyDescent="0.35">
      <c r="A37" s="37" t="s">
        <v>587</v>
      </c>
      <c r="B37" t="s">
        <v>588</v>
      </c>
      <c r="C37" t="s">
        <v>589</v>
      </c>
      <c r="D37" t="s">
        <v>590</v>
      </c>
      <c r="E37" t="s">
        <v>467</v>
      </c>
    </row>
    <row r="38" spans="1:5" x14ac:dyDescent="0.35">
      <c r="A38" s="37" t="s">
        <v>591</v>
      </c>
      <c r="B38" t="s">
        <v>592</v>
      </c>
      <c r="C38" t="s">
        <v>593</v>
      </c>
      <c r="D38" t="s">
        <v>594</v>
      </c>
      <c r="E38" t="s">
        <v>463</v>
      </c>
    </row>
    <row r="39" spans="1:5" x14ac:dyDescent="0.35">
      <c r="A39" s="37" t="s">
        <v>595</v>
      </c>
      <c r="B39" t="s">
        <v>596</v>
      </c>
      <c r="C39" t="s">
        <v>597</v>
      </c>
      <c r="D39" t="s">
        <v>598</v>
      </c>
      <c r="E39" t="s">
        <v>488</v>
      </c>
    </row>
    <row r="40" spans="1:5" x14ac:dyDescent="0.35">
      <c r="A40" s="37" t="s">
        <v>599</v>
      </c>
      <c r="B40" t="s">
        <v>600</v>
      </c>
      <c r="C40" t="s">
        <v>601</v>
      </c>
      <c r="D40" t="s">
        <v>602</v>
      </c>
      <c r="E40" t="s">
        <v>467</v>
      </c>
    </row>
    <row r="41" spans="1:5" x14ac:dyDescent="0.35">
      <c r="A41" s="37" t="s">
        <v>603</v>
      </c>
      <c r="B41" t="s">
        <v>560</v>
      </c>
      <c r="C41" t="s">
        <v>561</v>
      </c>
      <c r="D41" t="s">
        <v>604</v>
      </c>
      <c r="E41" t="s">
        <v>463</v>
      </c>
    </row>
    <row r="42" spans="1:5" x14ac:dyDescent="0.35">
      <c r="A42" s="37" t="s">
        <v>605</v>
      </c>
      <c r="B42" t="s">
        <v>606</v>
      </c>
      <c r="C42" t="s">
        <v>607</v>
      </c>
      <c r="D42" t="s">
        <v>608</v>
      </c>
      <c r="E42" t="s">
        <v>463</v>
      </c>
    </row>
    <row r="43" spans="1:5" x14ac:dyDescent="0.35">
      <c r="A43" s="37" t="s">
        <v>609</v>
      </c>
      <c r="B43" t="s">
        <v>526</v>
      </c>
      <c r="C43" t="s">
        <v>610</v>
      </c>
      <c r="D43" t="s">
        <v>611</v>
      </c>
      <c r="E43" t="s">
        <v>488</v>
      </c>
    </row>
    <row r="44" spans="1:5" x14ac:dyDescent="0.35">
      <c r="A44" s="37" t="s">
        <v>360</v>
      </c>
      <c r="B44" t="s">
        <v>450</v>
      </c>
      <c r="C44" t="s">
        <v>450</v>
      </c>
      <c r="D44" t="s">
        <v>451</v>
      </c>
      <c r="E44" t="s">
        <v>463</v>
      </c>
    </row>
    <row r="45" spans="1:5" x14ac:dyDescent="0.35">
      <c r="A45" s="37" t="s">
        <v>612</v>
      </c>
      <c r="B45" t="s">
        <v>613</v>
      </c>
      <c r="C45" t="s">
        <v>614</v>
      </c>
      <c r="D45" t="s">
        <v>615</v>
      </c>
      <c r="E45" t="s">
        <v>488</v>
      </c>
    </row>
    <row r="46" spans="1:5" x14ac:dyDescent="0.35">
      <c r="A46" s="37" t="s">
        <v>616</v>
      </c>
      <c r="B46" t="s">
        <v>617</v>
      </c>
      <c r="C46" t="s">
        <v>618</v>
      </c>
      <c r="D46" t="s">
        <v>619</v>
      </c>
      <c r="E46" t="s">
        <v>488</v>
      </c>
    </row>
    <row r="47" spans="1:5" x14ac:dyDescent="0.35">
      <c r="A47" s="37" t="s">
        <v>620</v>
      </c>
      <c r="B47" t="s">
        <v>621</v>
      </c>
      <c r="C47" t="s">
        <v>622</v>
      </c>
      <c r="D47" t="s">
        <v>623</v>
      </c>
      <c r="E47" t="s">
        <v>463</v>
      </c>
    </row>
    <row r="48" spans="1:5" x14ac:dyDescent="0.35">
      <c r="A48" s="37" t="s">
        <v>624</v>
      </c>
      <c r="B48" t="s">
        <v>625</v>
      </c>
      <c r="C48" t="s">
        <v>626</v>
      </c>
      <c r="D48" t="s">
        <v>627</v>
      </c>
      <c r="E48" t="s">
        <v>463</v>
      </c>
    </row>
    <row r="49" spans="1:5" x14ac:dyDescent="0.35">
      <c r="A49" s="37" t="s">
        <v>628</v>
      </c>
      <c r="B49" t="s">
        <v>629</v>
      </c>
      <c r="C49" t="s">
        <v>630</v>
      </c>
      <c r="D49" t="s">
        <v>631</v>
      </c>
      <c r="E49" t="s">
        <v>488</v>
      </c>
    </row>
    <row r="50" spans="1:5" x14ac:dyDescent="0.35">
      <c r="A50" s="37" t="s">
        <v>632</v>
      </c>
      <c r="B50" t="s">
        <v>633</v>
      </c>
      <c r="C50" t="s">
        <v>634</v>
      </c>
      <c r="D50" t="s">
        <v>635</v>
      </c>
      <c r="E50" t="s">
        <v>488</v>
      </c>
    </row>
    <row r="51" spans="1:5" x14ac:dyDescent="0.35">
      <c r="A51" s="37" t="s">
        <v>636</v>
      </c>
      <c r="B51" t="s">
        <v>637</v>
      </c>
      <c r="C51" t="s">
        <v>638</v>
      </c>
      <c r="D51" t="s">
        <v>639</v>
      </c>
      <c r="E51" t="s">
        <v>463</v>
      </c>
    </row>
    <row r="52" spans="1:5" x14ac:dyDescent="0.35">
      <c r="A52" s="37" t="s">
        <v>640</v>
      </c>
      <c r="B52" t="s">
        <v>641</v>
      </c>
      <c r="C52" t="s">
        <v>642</v>
      </c>
      <c r="D52" t="s">
        <v>643</v>
      </c>
      <c r="E52" t="s">
        <v>463</v>
      </c>
    </row>
    <row r="53" spans="1:5" x14ac:dyDescent="0.35">
      <c r="A53" s="37" t="s">
        <v>644</v>
      </c>
      <c r="B53" t="s">
        <v>645</v>
      </c>
      <c r="C53" t="s">
        <v>646</v>
      </c>
      <c r="D53" t="s">
        <v>647</v>
      </c>
      <c r="E53" t="s">
        <v>463</v>
      </c>
    </row>
    <row r="54" spans="1:5" x14ac:dyDescent="0.35">
      <c r="A54" s="37" t="s">
        <v>648</v>
      </c>
      <c r="B54" t="s">
        <v>649</v>
      </c>
      <c r="C54" t="s">
        <v>650</v>
      </c>
      <c r="D54" t="s">
        <v>651</v>
      </c>
      <c r="E54" t="s">
        <v>463</v>
      </c>
    </row>
    <row r="55" spans="1:5" x14ac:dyDescent="0.35">
      <c r="A55" s="37" t="s">
        <v>652</v>
      </c>
      <c r="B55" t="s">
        <v>526</v>
      </c>
      <c r="C55" t="s">
        <v>610</v>
      </c>
      <c r="D55" t="s">
        <v>653</v>
      </c>
      <c r="E55" t="s">
        <v>488</v>
      </c>
    </row>
    <row r="56" spans="1:5" x14ac:dyDescent="0.35">
      <c r="A56" s="37" t="s">
        <v>654</v>
      </c>
      <c r="B56" t="s">
        <v>655</v>
      </c>
      <c r="C56" t="s">
        <v>510</v>
      </c>
      <c r="D56" t="s">
        <v>656</v>
      </c>
      <c r="E56" t="s">
        <v>488</v>
      </c>
    </row>
    <row r="57" spans="1:5" x14ac:dyDescent="0.35">
      <c r="A57" s="37" t="s">
        <v>657</v>
      </c>
      <c r="B57" t="s">
        <v>658</v>
      </c>
      <c r="C57" t="s">
        <v>659</v>
      </c>
      <c r="D57" t="s">
        <v>660</v>
      </c>
      <c r="E57" t="s">
        <v>467</v>
      </c>
    </row>
    <row r="58" spans="1:5" x14ac:dyDescent="0.35">
      <c r="A58" s="37" t="s">
        <v>661</v>
      </c>
      <c r="B58" t="s">
        <v>662</v>
      </c>
      <c r="C58" t="s">
        <v>663</v>
      </c>
      <c r="D58" t="s">
        <v>664</v>
      </c>
      <c r="E58" t="s">
        <v>467</v>
      </c>
    </row>
    <row r="59" spans="1:5" x14ac:dyDescent="0.35">
      <c r="A59" s="37" t="s">
        <v>665</v>
      </c>
      <c r="B59" t="s">
        <v>666</v>
      </c>
      <c r="C59" t="s">
        <v>667</v>
      </c>
      <c r="D59" t="s">
        <v>668</v>
      </c>
      <c r="E59" t="s">
        <v>467</v>
      </c>
    </row>
    <row r="60" spans="1:5" x14ac:dyDescent="0.35">
      <c r="A60" s="37" t="s">
        <v>669</v>
      </c>
      <c r="B60" t="s">
        <v>649</v>
      </c>
      <c r="C60" t="s">
        <v>670</v>
      </c>
      <c r="D60" t="s">
        <v>671</v>
      </c>
      <c r="E60" t="s">
        <v>463</v>
      </c>
    </row>
    <row r="61" spans="1:5" x14ac:dyDescent="0.35">
      <c r="A61" s="37" t="s">
        <v>118</v>
      </c>
      <c r="B61" t="s">
        <v>465</v>
      </c>
      <c r="C61" t="s">
        <v>154</v>
      </c>
      <c r="D61" t="s">
        <v>155</v>
      </c>
      <c r="E61" t="s">
        <v>463</v>
      </c>
    </row>
    <row r="62" spans="1:5" x14ac:dyDescent="0.35">
      <c r="A62" s="37" t="s">
        <v>672</v>
      </c>
      <c r="B62" t="s">
        <v>526</v>
      </c>
      <c r="C62" t="s">
        <v>527</v>
      </c>
      <c r="D62" t="s">
        <v>673</v>
      </c>
      <c r="E62" t="s">
        <v>488</v>
      </c>
    </row>
    <row r="63" spans="1:5" x14ac:dyDescent="0.35">
      <c r="A63" s="37" t="s">
        <v>674</v>
      </c>
      <c r="B63" t="s">
        <v>675</v>
      </c>
      <c r="C63" t="s">
        <v>676</v>
      </c>
      <c r="D63" t="s">
        <v>677</v>
      </c>
      <c r="E63" t="s">
        <v>488</v>
      </c>
    </row>
    <row r="64" spans="1:5" x14ac:dyDescent="0.35">
      <c r="A64" s="37" t="s">
        <v>678</v>
      </c>
      <c r="B64" t="s">
        <v>679</v>
      </c>
      <c r="C64" t="s">
        <v>680</v>
      </c>
      <c r="D64" t="s">
        <v>681</v>
      </c>
      <c r="E64" t="s">
        <v>488</v>
      </c>
    </row>
    <row r="65" spans="1:5" x14ac:dyDescent="0.35">
      <c r="A65" s="37" t="s">
        <v>682</v>
      </c>
      <c r="B65" t="s">
        <v>683</v>
      </c>
      <c r="C65" t="s">
        <v>684</v>
      </c>
      <c r="D65" t="s">
        <v>685</v>
      </c>
      <c r="E65" t="s">
        <v>467</v>
      </c>
    </row>
    <row r="66" spans="1:5" x14ac:dyDescent="0.35">
      <c r="A66" s="37" t="s">
        <v>686</v>
      </c>
      <c r="B66" t="s">
        <v>687</v>
      </c>
      <c r="C66" t="s">
        <v>688</v>
      </c>
      <c r="D66" t="s">
        <v>689</v>
      </c>
      <c r="E66" t="s">
        <v>463</v>
      </c>
    </row>
    <row r="67" spans="1:5" x14ac:dyDescent="0.35">
      <c r="A67" s="37" t="s">
        <v>690</v>
      </c>
      <c r="B67" t="s">
        <v>691</v>
      </c>
      <c r="C67" t="s">
        <v>692</v>
      </c>
      <c r="D67" t="s">
        <v>693</v>
      </c>
      <c r="E67" t="s">
        <v>467</v>
      </c>
    </row>
    <row r="68" spans="1:5" x14ac:dyDescent="0.35">
      <c r="A68" s="37" t="s">
        <v>694</v>
      </c>
      <c r="B68" t="s">
        <v>695</v>
      </c>
      <c r="C68" t="s">
        <v>696</v>
      </c>
      <c r="D68" t="s">
        <v>697</v>
      </c>
      <c r="E68" t="s">
        <v>467</v>
      </c>
    </row>
    <row r="69" spans="1:5" x14ac:dyDescent="0.35">
      <c r="A69" s="37" t="s">
        <v>698</v>
      </c>
      <c r="B69" t="s">
        <v>699</v>
      </c>
      <c r="C69" t="s">
        <v>700</v>
      </c>
      <c r="D69" t="s">
        <v>701</v>
      </c>
      <c r="E69" t="s">
        <v>467</v>
      </c>
    </row>
    <row r="70" spans="1:5" x14ac:dyDescent="0.35">
      <c r="A70" s="37" t="s">
        <v>702</v>
      </c>
      <c r="B70" t="s">
        <v>703</v>
      </c>
      <c r="C70" t="s">
        <v>704</v>
      </c>
      <c r="D70" t="s">
        <v>705</v>
      </c>
      <c r="E70" t="s">
        <v>488</v>
      </c>
    </row>
    <row r="71" spans="1:5" x14ac:dyDescent="0.35">
      <c r="A71" s="37" t="s">
        <v>706</v>
      </c>
      <c r="B71" t="s">
        <v>707</v>
      </c>
      <c r="C71" t="s">
        <v>708</v>
      </c>
      <c r="D71" t="s">
        <v>709</v>
      </c>
      <c r="E71" t="s">
        <v>463</v>
      </c>
    </row>
    <row r="72" spans="1:5" x14ac:dyDescent="0.35">
      <c r="A72" s="37" t="s">
        <v>710</v>
      </c>
      <c r="B72" t="s">
        <v>534</v>
      </c>
      <c r="C72" t="s">
        <v>711</v>
      </c>
      <c r="D72" t="s">
        <v>712</v>
      </c>
      <c r="E72" t="s">
        <v>463</v>
      </c>
    </row>
    <row r="73" spans="1:5" x14ac:dyDescent="0.35">
      <c r="A73" s="37" t="s">
        <v>713</v>
      </c>
      <c r="B73" t="s">
        <v>714</v>
      </c>
      <c r="C73" t="s">
        <v>715</v>
      </c>
      <c r="D73" t="s">
        <v>716</v>
      </c>
      <c r="E73" t="s">
        <v>488</v>
      </c>
    </row>
    <row r="74" spans="1:5" x14ac:dyDescent="0.35">
      <c r="A74" s="37" t="s">
        <v>717</v>
      </c>
      <c r="B74" t="s">
        <v>633</v>
      </c>
      <c r="C74" t="s">
        <v>718</v>
      </c>
      <c r="D74" t="s">
        <v>719</v>
      </c>
      <c r="E74" t="s">
        <v>488</v>
      </c>
    </row>
    <row r="75" spans="1:5" x14ac:dyDescent="0.35">
      <c r="A75" s="37" t="s">
        <v>720</v>
      </c>
      <c r="B75" t="s">
        <v>721</v>
      </c>
      <c r="C75" t="s">
        <v>722</v>
      </c>
      <c r="D75" t="s">
        <v>723</v>
      </c>
      <c r="E75" t="s">
        <v>463</v>
      </c>
    </row>
    <row r="76" spans="1:5" x14ac:dyDescent="0.35">
      <c r="A76" s="37" t="s">
        <v>724</v>
      </c>
      <c r="B76" t="s">
        <v>725</v>
      </c>
      <c r="C76" t="s">
        <v>726</v>
      </c>
      <c r="D76" t="s">
        <v>727</v>
      </c>
      <c r="E76" t="s">
        <v>467</v>
      </c>
    </row>
    <row r="77" spans="1:5" x14ac:dyDescent="0.35">
      <c r="A77" s="37" t="s">
        <v>728</v>
      </c>
      <c r="B77" t="s">
        <v>729</v>
      </c>
      <c r="C77" t="s">
        <v>452</v>
      </c>
      <c r="D77" t="s">
        <v>730</v>
      </c>
      <c r="E77" t="s">
        <v>467</v>
      </c>
    </row>
    <row r="78" spans="1:5" x14ac:dyDescent="0.35">
      <c r="A78" s="37" t="s">
        <v>731</v>
      </c>
      <c r="B78" t="s">
        <v>732</v>
      </c>
      <c r="C78" t="s">
        <v>733</v>
      </c>
      <c r="D78" t="s">
        <v>734</v>
      </c>
      <c r="E78" t="s">
        <v>488</v>
      </c>
    </row>
    <row r="79" spans="1:5" x14ac:dyDescent="0.35">
      <c r="A79" s="37" t="s">
        <v>735</v>
      </c>
      <c r="B79" t="s">
        <v>556</v>
      </c>
      <c r="C79" t="s">
        <v>736</v>
      </c>
      <c r="D79" t="s">
        <v>737</v>
      </c>
      <c r="E79" t="s">
        <v>463</v>
      </c>
    </row>
    <row r="80" spans="1:5" x14ac:dyDescent="0.35">
      <c r="A80" s="37" t="s">
        <v>738</v>
      </c>
      <c r="B80" t="s">
        <v>462</v>
      </c>
      <c r="C80" t="s">
        <v>739</v>
      </c>
      <c r="D80" t="s">
        <v>740</v>
      </c>
      <c r="E80" t="s">
        <v>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4C49-DF59-49B0-949D-F3085B56E59A}">
  <dimension ref="A1:F14"/>
  <sheetViews>
    <sheetView tabSelected="1" zoomScaleNormal="100" workbookViewId="0">
      <selection activeCell="B19" sqref="B19"/>
    </sheetView>
  </sheetViews>
  <sheetFormatPr defaultRowHeight="14.5" x14ac:dyDescent="0.35"/>
  <cols>
    <col min="1" max="1" width="34.7265625" bestFit="1" customWidth="1"/>
    <col min="2" max="2" width="24.54296875" bestFit="1" customWidth="1"/>
    <col min="3" max="3" width="32.26953125" bestFit="1" customWidth="1"/>
    <col min="4" max="4" width="52.81640625" bestFit="1" customWidth="1"/>
    <col min="5" max="5" width="14.26953125" bestFit="1" customWidth="1"/>
    <col min="6" max="6" width="11" customWidth="1"/>
  </cols>
  <sheetData>
    <row r="1" spans="1:6" ht="23.5" x14ac:dyDescent="0.35">
      <c r="A1" s="32" t="s">
        <v>445</v>
      </c>
      <c r="B1" s="32" t="s">
        <v>444</v>
      </c>
      <c r="C1" s="32" t="s">
        <v>443</v>
      </c>
      <c r="D1" s="32" t="s">
        <v>441</v>
      </c>
      <c r="E1" s="32" t="s">
        <v>442</v>
      </c>
    </row>
    <row r="2" spans="1:6" x14ac:dyDescent="0.35">
      <c r="A2" s="24" t="s">
        <v>360</v>
      </c>
      <c r="B2" t="s">
        <v>450</v>
      </c>
      <c r="C2" t="s">
        <v>451</v>
      </c>
      <c r="D2" t="s">
        <v>361</v>
      </c>
      <c r="E2" t="s">
        <v>746</v>
      </c>
      <c r="F2" s="23"/>
    </row>
    <row r="3" spans="1:6" x14ac:dyDescent="0.35">
      <c r="A3" s="24" t="s">
        <v>73</v>
      </c>
      <c r="B3" t="s">
        <v>152</v>
      </c>
      <c r="C3" t="s">
        <v>153</v>
      </c>
      <c r="D3" t="s">
        <v>74</v>
      </c>
      <c r="E3" s="38" t="s">
        <v>745</v>
      </c>
      <c r="F3" s="23"/>
    </row>
    <row r="4" spans="1:6" x14ac:dyDescent="0.35">
      <c r="A4" s="24" t="s">
        <v>91</v>
      </c>
      <c r="B4" t="s">
        <v>150</v>
      </c>
      <c r="C4" t="s">
        <v>151</v>
      </c>
      <c r="D4" t="s">
        <v>92</v>
      </c>
      <c r="E4" t="s">
        <v>93</v>
      </c>
      <c r="F4" s="23"/>
    </row>
    <row r="5" spans="1:6" x14ac:dyDescent="0.35">
      <c r="A5" s="24" t="s">
        <v>170</v>
      </c>
      <c r="B5" t="s">
        <v>446</v>
      </c>
      <c r="C5" t="s">
        <v>447</v>
      </c>
      <c r="D5" t="s">
        <v>171</v>
      </c>
      <c r="E5" t="s">
        <v>261</v>
      </c>
      <c r="F5" s="23"/>
    </row>
    <row r="6" spans="1:6" x14ac:dyDescent="0.35">
      <c r="A6" s="24" t="s">
        <v>353</v>
      </c>
      <c r="B6" t="s">
        <v>448</v>
      </c>
      <c r="C6" t="s">
        <v>449</v>
      </c>
      <c r="D6" t="s">
        <v>354</v>
      </c>
      <c r="E6" s="38" t="s">
        <v>743</v>
      </c>
      <c r="F6" s="23"/>
    </row>
    <row r="7" spans="1:6" x14ac:dyDescent="0.35">
      <c r="A7" s="24" t="s">
        <v>118</v>
      </c>
      <c r="B7" t="s">
        <v>154</v>
      </c>
      <c r="C7" t="s">
        <v>155</v>
      </c>
      <c r="D7" t="s">
        <v>166</v>
      </c>
      <c r="E7" t="s">
        <v>747</v>
      </c>
      <c r="F7" s="23"/>
    </row>
    <row r="8" spans="1:6" x14ac:dyDescent="0.35">
      <c r="A8" s="147" t="s">
        <v>517</v>
      </c>
      <c r="B8" s="146" t="s">
        <v>519</v>
      </c>
      <c r="C8" t="s">
        <v>520</v>
      </c>
      <c r="D8" s="83" t="s">
        <v>748</v>
      </c>
    </row>
    <row r="9" spans="1:6" x14ac:dyDescent="0.35">
      <c r="A9" s="24" t="s">
        <v>686</v>
      </c>
      <c r="B9" s="146" t="s">
        <v>688</v>
      </c>
      <c r="C9" t="s">
        <v>689</v>
      </c>
      <c r="D9" s="83" t="s">
        <v>890</v>
      </c>
    </row>
    <row r="10" spans="1:6" x14ac:dyDescent="0.35">
      <c r="A10" s="24" t="s">
        <v>724</v>
      </c>
      <c r="B10" s="146" t="s">
        <v>726</v>
      </c>
      <c r="C10" t="s">
        <v>1151</v>
      </c>
      <c r="D10" t="s">
        <v>1116</v>
      </c>
      <c r="E10" t="s">
        <v>1051</v>
      </c>
    </row>
    <row r="11" spans="1:6" x14ac:dyDescent="0.35">
      <c r="A11" s="24" t="s">
        <v>1150</v>
      </c>
      <c r="B11" s="146" t="s">
        <v>726</v>
      </c>
      <c r="C11" t="s">
        <v>1151</v>
      </c>
      <c r="D11" t="s">
        <v>1122</v>
      </c>
      <c r="E11" t="s">
        <v>1051</v>
      </c>
    </row>
    <row r="12" spans="1:6" x14ac:dyDescent="0.35">
      <c r="A12" s="24" t="s">
        <v>599</v>
      </c>
      <c r="B12" s="146" t="s">
        <v>600</v>
      </c>
      <c r="C12" t="s">
        <v>602</v>
      </c>
      <c r="D12" t="s">
        <v>1050</v>
      </c>
      <c r="E12" t="s">
        <v>1051</v>
      </c>
    </row>
    <row r="13" spans="1:6" x14ac:dyDescent="0.35">
      <c r="A13" s="24" t="s">
        <v>439</v>
      </c>
      <c r="B13" s="146" t="s">
        <v>452</v>
      </c>
      <c r="C13" t="s">
        <v>453</v>
      </c>
      <c r="D13" t="s">
        <v>440</v>
      </c>
      <c r="E13" t="s">
        <v>744</v>
      </c>
    </row>
    <row r="14" spans="1:6" x14ac:dyDescent="0.35">
      <c r="F14" s="23"/>
    </row>
  </sheetData>
  <hyperlinks>
    <hyperlink ref="A3" location="'1M5'!A1" display="1M5" xr:uid="{8E361705-8BCF-4E48-9320-8A3201FA609C}"/>
    <hyperlink ref="A4" location="FYM!A1" display="FYM" xr:uid="{E15A8EEE-7C66-42FF-97B0-E3B463C2E40E}"/>
    <hyperlink ref="A7" location="MRC!A1" display="MRC" xr:uid="{D5021EC3-B6C9-4A90-8564-5C7E74A9EA7A}"/>
    <hyperlink ref="A5" location="CSV!A1" display="CSV" xr:uid="{4E20B584-5D0A-4C69-8E43-715C8C0DD0C1}"/>
    <hyperlink ref="A6" location="'3M7'!A1" display="3M7" xr:uid="{E6967AA8-E143-438A-B29C-CBEC2DDADB0E}"/>
    <hyperlink ref="A2" location="'M02'!A1" display="M02" xr:uid="{CCDB7044-7177-437A-9CA9-A66718625E1C}"/>
    <hyperlink ref="A8" location="'2A1'!A1" display="2A1" xr:uid="{724D6925-0B11-4C82-96AE-E4126BA7222B}"/>
    <hyperlink ref="A9" location="RNC!A1" display="RNC" xr:uid="{286C5869-44E2-49F7-B783-794596907E9C}"/>
    <hyperlink ref="A10" location="TRI!A1" display="TRI" xr:uid="{3D87A14D-E1D0-47FD-8D5D-C1646C1045AA}"/>
    <hyperlink ref="A11" location="'TRI (2)'!A1" display="TRI (2)" xr:uid="{17A22942-52FE-496D-A45D-7DB3FC22E42A}"/>
    <hyperlink ref="A12" location="JAU!A1" display="JAU" xr:uid="{64602254-B3E3-403C-B4D7-BDF5442204BA}"/>
    <hyperlink ref="A13" location="DKX!A1" display="DKX" xr:uid="{540F9657-0FD5-4873-ABFE-8FB342BA6D8C}"/>
  </hyperlink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D446-DE8A-4B11-B790-5B95427A532C}">
  <dimension ref="A1:N66"/>
  <sheetViews>
    <sheetView zoomScaleNormal="100" workbookViewId="0"/>
  </sheetViews>
  <sheetFormatPr defaultRowHeight="14.5" x14ac:dyDescent="0.35"/>
  <cols>
    <col min="1" max="1" width="20.81640625" bestFit="1" customWidth="1"/>
    <col min="2" max="2" width="21.453125" bestFit="1" customWidth="1"/>
    <col min="3" max="3" width="125.1796875" bestFit="1" customWidth="1"/>
    <col min="4" max="4" width="10" bestFit="1" customWidth="1"/>
    <col min="5" max="5" width="25.54296875" bestFit="1" customWidth="1"/>
    <col min="6" max="6" width="15" bestFit="1" customWidth="1"/>
    <col min="7" max="7" width="20.81640625" bestFit="1" customWidth="1"/>
    <col min="8" max="8" width="16" bestFit="1" customWidth="1"/>
    <col min="9" max="9" width="22" bestFit="1" customWidth="1"/>
    <col min="10" max="10" width="16" bestFit="1" customWidth="1"/>
    <col min="11" max="11" width="22" bestFit="1" customWidth="1"/>
    <col min="12" max="12" width="16" bestFit="1" customWidth="1"/>
    <col min="13" max="13" width="22" bestFit="1" customWidth="1"/>
  </cols>
  <sheetData>
    <row r="1" spans="1:14" x14ac:dyDescent="0.35">
      <c r="A1" s="43"/>
      <c r="B1" s="43"/>
      <c r="C1" s="43"/>
      <c r="D1" s="43"/>
      <c r="E1" s="43"/>
      <c r="F1" s="43"/>
      <c r="G1" s="43"/>
      <c r="H1" s="43"/>
      <c r="I1" s="43"/>
      <c r="J1" s="43"/>
      <c r="K1" s="43"/>
      <c r="L1" s="43"/>
      <c r="M1" s="43"/>
      <c r="N1" s="43"/>
    </row>
    <row r="2" spans="1:14" x14ac:dyDescent="0.35">
      <c r="A2" s="43"/>
      <c r="B2" s="43"/>
      <c r="C2" s="43"/>
      <c r="D2" s="43"/>
      <c r="E2" s="43"/>
      <c r="F2" s="43"/>
      <c r="G2" s="43"/>
      <c r="H2" s="43"/>
      <c r="I2" s="43"/>
      <c r="J2" s="43"/>
      <c r="K2" s="43"/>
      <c r="L2" s="43"/>
      <c r="M2" s="43"/>
      <c r="N2" s="43"/>
    </row>
    <row r="3" spans="1:14" ht="15.5" x14ac:dyDescent="0.35">
      <c r="A3" s="50" t="s">
        <v>65</v>
      </c>
      <c r="B3" s="43" t="s">
        <v>73</v>
      </c>
      <c r="C3" s="43"/>
      <c r="D3" s="50"/>
      <c r="E3" s="43"/>
      <c r="F3" s="43"/>
      <c r="G3" s="43"/>
      <c r="H3" s="43"/>
      <c r="I3" s="43"/>
      <c r="J3" s="43"/>
      <c r="K3" s="43"/>
      <c r="L3" s="43"/>
      <c r="M3" s="43"/>
      <c r="N3" s="43"/>
    </row>
    <row r="4" spans="1:14" ht="15.5" x14ac:dyDescent="0.35">
      <c r="A4" s="50" t="s">
        <v>67</v>
      </c>
      <c r="B4" s="43" t="str">
        <f>VLOOKUP(B3,DATA!$A$2:$E$80,3)</f>
        <v>Portland</v>
      </c>
      <c r="C4" s="43"/>
      <c r="D4" s="50"/>
      <c r="E4" s="43"/>
      <c r="F4" s="43"/>
      <c r="G4" s="43"/>
      <c r="H4" s="43"/>
      <c r="I4" s="43"/>
      <c r="J4" s="43"/>
      <c r="K4" s="43"/>
      <c r="L4" s="43"/>
      <c r="M4" s="43"/>
      <c r="N4" s="43"/>
    </row>
    <row r="5" spans="1:14" ht="15.5" x14ac:dyDescent="0.35">
      <c r="A5" s="50" t="s">
        <v>69</v>
      </c>
      <c r="B5" s="43" t="str">
        <f>VLOOKUP(B3,DATA!$A$2:$E$80,4)</f>
        <v>Portland Municipal</v>
      </c>
      <c r="C5" s="43"/>
      <c r="D5" s="50"/>
      <c r="E5" s="43"/>
      <c r="F5" s="43"/>
      <c r="G5" s="43"/>
      <c r="H5" s="43"/>
      <c r="I5" s="43"/>
      <c r="J5" s="43"/>
      <c r="K5" s="43"/>
      <c r="L5" s="43"/>
      <c r="M5" s="43"/>
      <c r="N5" s="43"/>
    </row>
    <row r="6" spans="1:14" ht="15.5" x14ac:dyDescent="0.35">
      <c r="A6" s="50" t="s">
        <v>70</v>
      </c>
      <c r="B6" s="43" t="s">
        <v>74</v>
      </c>
      <c r="C6" s="43"/>
      <c r="D6" s="50"/>
      <c r="E6" s="43"/>
      <c r="F6" s="43"/>
      <c r="G6" s="43"/>
      <c r="H6" s="43"/>
      <c r="I6" s="43"/>
      <c r="J6" s="43"/>
      <c r="K6" s="43"/>
      <c r="L6" s="43"/>
      <c r="M6" s="43"/>
      <c r="N6" s="43"/>
    </row>
    <row r="7" spans="1:14" ht="15.5" x14ac:dyDescent="0.35">
      <c r="A7" s="50" t="s">
        <v>71</v>
      </c>
      <c r="B7" s="76" t="s">
        <v>745</v>
      </c>
      <c r="C7" s="43"/>
      <c r="D7" s="50"/>
      <c r="E7" s="43"/>
      <c r="F7" s="43"/>
      <c r="G7" s="43"/>
      <c r="H7" s="43"/>
      <c r="I7" s="43"/>
      <c r="J7" s="43"/>
      <c r="K7" s="43"/>
      <c r="L7" s="43"/>
      <c r="M7" s="43"/>
      <c r="N7" s="43"/>
    </row>
    <row r="8" spans="1:14" ht="15.5" x14ac:dyDescent="0.35">
      <c r="A8" s="50" t="s">
        <v>72</v>
      </c>
      <c r="B8" s="51">
        <v>44579</v>
      </c>
      <c r="C8" s="43"/>
      <c r="D8" s="50"/>
      <c r="E8" s="51"/>
      <c r="F8" s="43"/>
      <c r="G8" s="43"/>
      <c r="H8" s="43"/>
      <c r="I8" s="43"/>
      <c r="J8" s="43"/>
      <c r="K8" s="43"/>
      <c r="L8" s="43"/>
      <c r="M8" s="43"/>
      <c r="N8" s="43"/>
    </row>
    <row r="9" spans="1:14" ht="15.5" x14ac:dyDescent="0.35">
      <c r="A9" s="50" t="s">
        <v>66</v>
      </c>
      <c r="B9" s="43" t="str">
        <f>VLOOKUP(B3,DATA!$A$2:$E$80,2)</f>
        <v>Sumner</v>
      </c>
      <c r="C9" s="43"/>
      <c r="D9" s="50"/>
      <c r="E9" s="43"/>
      <c r="F9" s="43"/>
      <c r="G9" s="43"/>
      <c r="H9" s="43"/>
      <c r="I9" s="43"/>
      <c r="J9" s="43"/>
      <c r="K9" s="43"/>
      <c r="L9" s="43"/>
      <c r="M9" s="43"/>
      <c r="N9" s="43"/>
    </row>
    <row r="10" spans="1:14" ht="15.5" x14ac:dyDescent="0.35">
      <c r="A10" s="50" t="s">
        <v>68</v>
      </c>
      <c r="B10" s="43" t="str">
        <f>VLOOKUP(B3,DATA!$A$2:$E$80,5)</f>
        <v>Middle</v>
      </c>
      <c r="C10" s="43"/>
      <c r="D10" s="50"/>
      <c r="E10" s="43"/>
      <c r="F10" s="43"/>
      <c r="G10" s="43"/>
      <c r="H10" s="43"/>
      <c r="I10" s="43"/>
      <c r="J10" s="43"/>
      <c r="K10" s="43"/>
      <c r="L10" s="43"/>
      <c r="M10" s="43"/>
      <c r="N10" s="43"/>
    </row>
    <row r="11" spans="1:14" ht="16" thickBot="1" x14ac:dyDescent="0.4">
      <c r="A11" s="50"/>
      <c r="B11" s="43"/>
      <c r="C11" s="43"/>
      <c r="D11" s="50"/>
      <c r="E11" s="43"/>
      <c r="F11" s="43"/>
      <c r="G11" s="43"/>
      <c r="H11" s="43"/>
      <c r="I11" s="43"/>
      <c r="J11" s="43"/>
      <c r="K11" s="43"/>
      <c r="L11" s="43"/>
      <c r="M11" s="43"/>
      <c r="N11" s="43"/>
    </row>
    <row r="12" spans="1:14" ht="16" thickBot="1" x14ac:dyDescent="0.4">
      <c r="A12" s="237" t="s">
        <v>167</v>
      </c>
      <c r="B12" s="239"/>
      <c r="C12" s="239"/>
      <c r="D12" s="239"/>
      <c r="E12" s="238"/>
      <c r="F12" s="237" t="s">
        <v>75</v>
      </c>
      <c r="G12" s="238"/>
      <c r="H12" s="237" t="s">
        <v>76</v>
      </c>
      <c r="I12" s="238"/>
      <c r="J12" s="237" t="s">
        <v>77</v>
      </c>
      <c r="K12" s="238"/>
      <c r="L12" s="237" t="s">
        <v>78</v>
      </c>
      <c r="M12" s="238"/>
      <c r="N12" s="43"/>
    </row>
    <row r="13" spans="1:14" x14ac:dyDescent="0.35">
      <c r="A13" s="57" t="s">
        <v>62</v>
      </c>
      <c r="B13" s="57" t="s">
        <v>63</v>
      </c>
      <c r="C13" s="57" t="s">
        <v>0</v>
      </c>
      <c r="D13" s="57" t="s">
        <v>1</v>
      </c>
      <c r="E13" s="57" t="s">
        <v>64</v>
      </c>
      <c r="F13" s="57" t="s">
        <v>262</v>
      </c>
      <c r="G13" s="57" t="s">
        <v>94</v>
      </c>
      <c r="H13" s="57" t="s">
        <v>355</v>
      </c>
      <c r="I13" s="57" t="s">
        <v>95</v>
      </c>
      <c r="J13" s="57" t="s">
        <v>458</v>
      </c>
      <c r="K13" s="57" t="s">
        <v>357</v>
      </c>
      <c r="L13" s="57" t="s">
        <v>420</v>
      </c>
      <c r="M13" s="57" t="s">
        <v>459</v>
      </c>
      <c r="N13" s="43"/>
    </row>
    <row r="14" spans="1:14" x14ac:dyDescent="0.35">
      <c r="A14" s="77">
        <v>1</v>
      </c>
      <c r="B14" s="77" t="s">
        <v>2</v>
      </c>
      <c r="C14" s="78" t="s">
        <v>178</v>
      </c>
      <c r="D14" s="77" t="s">
        <v>3</v>
      </c>
      <c r="E14" s="57">
        <v>1</v>
      </c>
      <c r="F14" s="79">
        <v>12500</v>
      </c>
      <c r="G14" s="79">
        <v>12500</v>
      </c>
      <c r="H14" s="79">
        <v>50000</v>
      </c>
      <c r="I14" s="79">
        <v>50000</v>
      </c>
      <c r="J14" s="79">
        <v>25000</v>
      </c>
      <c r="K14" s="79">
        <v>25000</v>
      </c>
      <c r="L14" s="79">
        <v>245000</v>
      </c>
      <c r="M14" s="79">
        <v>245000</v>
      </c>
      <c r="N14" s="43"/>
    </row>
    <row r="15" spans="1:14" x14ac:dyDescent="0.35">
      <c r="A15" s="77">
        <v>2</v>
      </c>
      <c r="B15" s="77" t="s">
        <v>4</v>
      </c>
      <c r="C15" s="78" t="s">
        <v>179</v>
      </c>
      <c r="D15" s="77" t="s">
        <v>3</v>
      </c>
      <c r="E15" s="57">
        <v>1</v>
      </c>
      <c r="F15" s="79">
        <v>17500</v>
      </c>
      <c r="G15" s="79">
        <v>17500</v>
      </c>
      <c r="H15" s="79">
        <v>250000</v>
      </c>
      <c r="I15" s="79">
        <v>250000</v>
      </c>
      <c r="J15" s="79">
        <v>40000</v>
      </c>
      <c r="K15" s="79">
        <v>40000</v>
      </c>
      <c r="L15" s="79">
        <v>55000</v>
      </c>
      <c r="M15" s="79">
        <v>55000</v>
      </c>
      <c r="N15" s="43"/>
    </row>
    <row r="16" spans="1:14" x14ac:dyDescent="0.35">
      <c r="A16" s="77">
        <v>3</v>
      </c>
      <c r="B16" s="77" t="s">
        <v>5</v>
      </c>
      <c r="C16" s="78" t="s">
        <v>180</v>
      </c>
      <c r="D16" s="77" t="s">
        <v>6</v>
      </c>
      <c r="E16" s="57">
        <v>13</v>
      </c>
      <c r="F16" s="79">
        <v>7500</v>
      </c>
      <c r="G16" s="79">
        <v>97500</v>
      </c>
      <c r="H16" s="79">
        <v>11200</v>
      </c>
      <c r="I16" s="79">
        <v>145600</v>
      </c>
      <c r="J16" s="79">
        <v>16000</v>
      </c>
      <c r="K16" s="79">
        <v>208000</v>
      </c>
      <c r="L16" s="79">
        <v>21000</v>
      </c>
      <c r="M16" s="79">
        <v>273000</v>
      </c>
      <c r="N16" s="43"/>
    </row>
    <row r="17" spans="1:14" x14ac:dyDescent="0.35">
      <c r="A17" s="77">
        <v>4</v>
      </c>
      <c r="B17" s="77" t="s">
        <v>7</v>
      </c>
      <c r="C17" s="78" t="s">
        <v>181</v>
      </c>
      <c r="D17" s="77" t="s">
        <v>8</v>
      </c>
      <c r="E17" s="57">
        <v>42750</v>
      </c>
      <c r="F17" s="79">
        <v>12.5</v>
      </c>
      <c r="G17" s="79">
        <v>534375</v>
      </c>
      <c r="H17" s="79">
        <v>13</v>
      </c>
      <c r="I17" s="79">
        <v>555750</v>
      </c>
      <c r="J17" s="79">
        <v>15</v>
      </c>
      <c r="K17" s="79">
        <v>641250</v>
      </c>
      <c r="L17" s="79">
        <v>4.8499999999999996</v>
      </c>
      <c r="M17" s="79">
        <v>207337.5</v>
      </c>
      <c r="N17" s="43"/>
    </row>
    <row r="18" spans="1:14" x14ac:dyDescent="0.35">
      <c r="A18" s="77">
        <v>5</v>
      </c>
      <c r="B18" s="77" t="s">
        <v>9</v>
      </c>
      <c r="C18" s="78" t="s">
        <v>182</v>
      </c>
      <c r="D18" s="77" t="s">
        <v>8</v>
      </c>
      <c r="E18" s="57">
        <v>250</v>
      </c>
      <c r="F18" s="79">
        <v>35</v>
      </c>
      <c r="G18" s="79">
        <v>8750</v>
      </c>
      <c r="H18" s="79">
        <v>15</v>
      </c>
      <c r="I18" s="79">
        <v>3750</v>
      </c>
      <c r="J18" s="79">
        <v>40</v>
      </c>
      <c r="K18" s="79">
        <v>10000</v>
      </c>
      <c r="L18" s="79">
        <v>5</v>
      </c>
      <c r="M18" s="79">
        <v>1250</v>
      </c>
      <c r="N18" s="43"/>
    </row>
    <row r="19" spans="1:14" x14ac:dyDescent="0.35">
      <c r="A19" s="77">
        <v>6</v>
      </c>
      <c r="B19" s="77" t="s">
        <v>10</v>
      </c>
      <c r="C19" s="78" t="s">
        <v>183</v>
      </c>
      <c r="D19" s="77" t="s">
        <v>11</v>
      </c>
      <c r="E19" s="57">
        <v>4700</v>
      </c>
      <c r="F19" s="79">
        <v>20</v>
      </c>
      <c r="G19" s="79">
        <v>94000</v>
      </c>
      <c r="H19" s="79">
        <v>23.2</v>
      </c>
      <c r="I19" s="79">
        <v>109040</v>
      </c>
      <c r="J19" s="79">
        <v>30</v>
      </c>
      <c r="K19" s="79">
        <v>141000</v>
      </c>
      <c r="L19" s="79">
        <v>22</v>
      </c>
      <c r="M19" s="79">
        <v>103400</v>
      </c>
      <c r="N19" s="43"/>
    </row>
    <row r="20" spans="1:14" x14ac:dyDescent="0.35">
      <c r="A20" s="77">
        <v>7</v>
      </c>
      <c r="B20" s="77" t="s">
        <v>12</v>
      </c>
      <c r="C20" s="78" t="s">
        <v>184</v>
      </c>
      <c r="D20" s="77" t="s">
        <v>8</v>
      </c>
      <c r="E20" s="57">
        <v>1500</v>
      </c>
      <c r="F20" s="79">
        <v>50</v>
      </c>
      <c r="G20" s="79">
        <v>75000</v>
      </c>
      <c r="H20" s="79">
        <v>44</v>
      </c>
      <c r="I20" s="79">
        <v>66000</v>
      </c>
      <c r="J20" s="79">
        <v>60</v>
      </c>
      <c r="K20" s="79">
        <v>90000</v>
      </c>
      <c r="L20" s="79">
        <v>42</v>
      </c>
      <c r="M20" s="79">
        <v>63000</v>
      </c>
      <c r="N20" s="43"/>
    </row>
    <row r="21" spans="1:14" x14ac:dyDescent="0.35">
      <c r="A21" s="77">
        <v>8</v>
      </c>
      <c r="B21" s="77" t="s">
        <v>13</v>
      </c>
      <c r="C21" s="78" t="s">
        <v>185</v>
      </c>
      <c r="D21" s="77" t="s">
        <v>3</v>
      </c>
      <c r="E21" s="57">
        <v>1</v>
      </c>
      <c r="F21" s="79">
        <v>3500</v>
      </c>
      <c r="G21" s="79">
        <v>3500</v>
      </c>
      <c r="H21" s="79">
        <v>580</v>
      </c>
      <c r="I21" s="79">
        <v>580</v>
      </c>
      <c r="J21" s="79">
        <v>6000</v>
      </c>
      <c r="K21" s="79">
        <v>6000</v>
      </c>
      <c r="L21" s="79">
        <v>15000</v>
      </c>
      <c r="M21" s="79">
        <v>15000</v>
      </c>
      <c r="N21" s="43"/>
    </row>
    <row r="22" spans="1:14" x14ac:dyDescent="0.35">
      <c r="A22" s="77">
        <v>9</v>
      </c>
      <c r="B22" s="77" t="s">
        <v>14</v>
      </c>
      <c r="C22" s="78" t="s">
        <v>186</v>
      </c>
      <c r="D22" s="77" t="s">
        <v>3</v>
      </c>
      <c r="E22" s="57">
        <v>1</v>
      </c>
      <c r="F22" s="79">
        <v>17500</v>
      </c>
      <c r="G22" s="79">
        <v>17500</v>
      </c>
      <c r="H22" s="79">
        <v>9800</v>
      </c>
      <c r="I22" s="79">
        <v>9800</v>
      </c>
      <c r="J22" s="79">
        <v>12000</v>
      </c>
      <c r="K22" s="79">
        <v>12000</v>
      </c>
      <c r="L22" s="79">
        <v>15000</v>
      </c>
      <c r="M22" s="79">
        <v>15000</v>
      </c>
      <c r="N22" s="43"/>
    </row>
    <row r="23" spans="1:14" x14ac:dyDescent="0.35">
      <c r="A23" s="77">
        <v>10</v>
      </c>
      <c r="B23" s="77" t="s">
        <v>15</v>
      </c>
      <c r="C23" s="78" t="s">
        <v>187</v>
      </c>
      <c r="D23" s="77" t="s">
        <v>16</v>
      </c>
      <c r="E23" s="57">
        <v>1</v>
      </c>
      <c r="F23" s="79">
        <v>750</v>
      </c>
      <c r="G23" s="79">
        <v>750</v>
      </c>
      <c r="H23" s="79">
        <v>1000</v>
      </c>
      <c r="I23" s="79">
        <v>1000</v>
      </c>
      <c r="J23" s="79">
        <v>575</v>
      </c>
      <c r="K23" s="79">
        <v>575</v>
      </c>
      <c r="L23" s="79">
        <v>2500</v>
      </c>
      <c r="M23" s="79">
        <v>2500</v>
      </c>
      <c r="N23" s="43"/>
    </row>
    <row r="24" spans="1:14" x14ac:dyDescent="0.35">
      <c r="A24" s="77">
        <v>11</v>
      </c>
      <c r="B24" s="77" t="s">
        <v>17</v>
      </c>
      <c r="C24" s="78" t="s">
        <v>188</v>
      </c>
      <c r="D24" s="77" t="s">
        <v>16</v>
      </c>
      <c r="E24" s="57">
        <v>1</v>
      </c>
      <c r="F24" s="79">
        <v>2500</v>
      </c>
      <c r="G24" s="79">
        <v>2500</v>
      </c>
      <c r="H24" s="79">
        <v>2500</v>
      </c>
      <c r="I24" s="79">
        <v>2500</v>
      </c>
      <c r="J24" s="79">
        <v>3500</v>
      </c>
      <c r="K24" s="79">
        <v>3500</v>
      </c>
      <c r="L24" s="79">
        <v>3500</v>
      </c>
      <c r="M24" s="79">
        <v>3500</v>
      </c>
      <c r="N24" s="43"/>
    </row>
    <row r="25" spans="1:14" x14ac:dyDescent="0.35">
      <c r="A25" s="77">
        <v>12</v>
      </c>
      <c r="B25" s="77" t="s">
        <v>18</v>
      </c>
      <c r="C25" s="78" t="s">
        <v>189</v>
      </c>
      <c r="D25" s="77" t="s">
        <v>3</v>
      </c>
      <c r="E25" s="57">
        <v>1</v>
      </c>
      <c r="F25" s="79">
        <v>1500</v>
      </c>
      <c r="G25" s="79">
        <v>1500</v>
      </c>
      <c r="H25" s="79">
        <v>2500</v>
      </c>
      <c r="I25" s="79">
        <v>2500</v>
      </c>
      <c r="J25" s="79">
        <v>5600</v>
      </c>
      <c r="K25" s="79">
        <v>5600</v>
      </c>
      <c r="L25" s="79">
        <v>9000</v>
      </c>
      <c r="M25" s="79">
        <v>9000</v>
      </c>
      <c r="N25" s="43"/>
    </row>
    <row r="26" spans="1:14" x14ac:dyDescent="0.35">
      <c r="A26" s="77">
        <v>13</v>
      </c>
      <c r="B26" s="77" t="s">
        <v>19</v>
      </c>
      <c r="C26" s="78" t="s">
        <v>190</v>
      </c>
      <c r="D26" s="77" t="s">
        <v>3</v>
      </c>
      <c r="E26" s="57">
        <v>1</v>
      </c>
      <c r="F26" s="79">
        <v>1500</v>
      </c>
      <c r="G26" s="79">
        <v>1500</v>
      </c>
      <c r="H26" s="79">
        <v>830</v>
      </c>
      <c r="I26" s="79">
        <v>830</v>
      </c>
      <c r="J26" s="79">
        <v>2800</v>
      </c>
      <c r="K26" s="79">
        <v>2800</v>
      </c>
      <c r="L26" s="79">
        <v>9000</v>
      </c>
      <c r="M26" s="79">
        <v>9000</v>
      </c>
      <c r="N26" s="43"/>
    </row>
    <row r="27" spans="1:14" x14ac:dyDescent="0.35">
      <c r="A27" s="77">
        <v>14</v>
      </c>
      <c r="B27" s="77" t="s">
        <v>20</v>
      </c>
      <c r="C27" s="78" t="s">
        <v>191</v>
      </c>
      <c r="D27" s="77" t="s">
        <v>21</v>
      </c>
      <c r="E27" s="57">
        <v>8984</v>
      </c>
      <c r="F27" s="79">
        <v>7.5</v>
      </c>
      <c r="G27" s="79">
        <v>67380</v>
      </c>
      <c r="H27" s="79">
        <v>4.1500000000000004</v>
      </c>
      <c r="I27" s="79">
        <v>37283.599999999999</v>
      </c>
      <c r="J27" s="79">
        <v>4.5</v>
      </c>
      <c r="K27" s="79">
        <v>40428</v>
      </c>
      <c r="L27" s="79">
        <v>4.5</v>
      </c>
      <c r="M27" s="79">
        <v>40428</v>
      </c>
      <c r="N27" s="43"/>
    </row>
    <row r="28" spans="1:14" x14ac:dyDescent="0.35">
      <c r="A28" s="77">
        <v>15</v>
      </c>
      <c r="B28" s="77" t="s">
        <v>22</v>
      </c>
      <c r="C28" s="78" t="s">
        <v>192</v>
      </c>
      <c r="D28" s="77" t="s">
        <v>16</v>
      </c>
      <c r="E28" s="57">
        <v>1</v>
      </c>
      <c r="F28" s="79">
        <v>1250</v>
      </c>
      <c r="G28" s="79">
        <v>1250</v>
      </c>
      <c r="H28" s="79">
        <v>900</v>
      </c>
      <c r="I28" s="79">
        <v>900</v>
      </c>
      <c r="J28" s="79">
        <v>350</v>
      </c>
      <c r="K28" s="79">
        <v>350</v>
      </c>
      <c r="L28" s="79">
        <v>2500</v>
      </c>
      <c r="M28" s="79">
        <v>2500</v>
      </c>
      <c r="N28" s="43"/>
    </row>
    <row r="29" spans="1:14" x14ac:dyDescent="0.35">
      <c r="A29" s="77">
        <v>16</v>
      </c>
      <c r="B29" s="77" t="s">
        <v>23</v>
      </c>
      <c r="C29" s="78" t="s">
        <v>193</v>
      </c>
      <c r="D29" s="77" t="s">
        <v>16</v>
      </c>
      <c r="E29" s="57">
        <v>4</v>
      </c>
      <c r="F29" s="79">
        <v>750</v>
      </c>
      <c r="G29" s="79">
        <v>3000</v>
      </c>
      <c r="H29" s="79">
        <v>900</v>
      </c>
      <c r="I29" s="79">
        <v>3600</v>
      </c>
      <c r="J29" s="79">
        <v>500</v>
      </c>
      <c r="K29" s="79">
        <v>2000</v>
      </c>
      <c r="L29" s="79">
        <v>4500</v>
      </c>
      <c r="M29" s="79">
        <v>18000</v>
      </c>
      <c r="N29" s="43"/>
    </row>
    <row r="30" spans="1:14" x14ac:dyDescent="0.35">
      <c r="A30" s="77">
        <v>17</v>
      </c>
      <c r="B30" s="77" t="s">
        <v>24</v>
      </c>
      <c r="C30" s="78" t="s">
        <v>194</v>
      </c>
      <c r="D30" s="77" t="s">
        <v>21</v>
      </c>
      <c r="E30" s="57">
        <v>150</v>
      </c>
      <c r="F30" s="79">
        <v>7.5</v>
      </c>
      <c r="G30" s="79">
        <v>1125</v>
      </c>
      <c r="H30" s="79">
        <v>9.8000000000000007</v>
      </c>
      <c r="I30" s="79">
        <v>1470</v>
      </c>
      <c r="J30" s="79">
        <v>4</v>
      </c>
      <c r="K30" s="79">
        <v>600</v>
      </c>
      <c r="L30" s="79">
        <v>110</v>
      </c>
      <c r="M30" s="79">
        <v>16500</v>
      </c>
      <c r="N30" s="43"/>
    </row>
    <row r="31" spans="1:14" x14ac:dyDescent="0.35">
      <c r="A31" s="77">
        <v>18</v>
      </c>
      <c r="B31" s="77" t="s">
        <v>25</v>
      </c>
      <c r="C31" s="78" t="s">
        <v>195</v>
      </c>
      <c r="D31" s="77" t="s">
        <v>8</v>
      </c>
      <c r="E31" s="57">
        <v>3000</v>
      </c>
      <c r="F31" s="79">
        <v>5</v>
      </c>
      <c r="G31" s="79">
        <v>15000</v>
      </c>
      <c r="H31" s="79">
        <v>1.25</v>
      </c>
      <c r="I31" s="79">
        <v>3750</v>
      </c>
      <c r="J31" s="79">
        <v>1.6</v>
      </c>
      <c r="K31" s="79">
        <v>4800</v>
      </c>
      <c r="L31" s="79">
        <v>8</v>
      </c>
      <c r="M31" s="79">
        <v>24000</v>
      </c>
      <c r="N31" s="43"/>
    </row>
    <row r="32" spans="1:14" x14ac:dyDescent="0.35">
      <c r="A32" s="77">
        <v>19</v>
      </c>
      <c r="B32" s="77" t="s">
        <v>26</v>
      </c>
      <c r="C32" s="78" t="s">
        <v>196</v>
      </c>
      <c r="D32" s="77" t="s">
        <v>16</v>
      </c>
      <c r="E32" s="57">
        <v>4</v>
      </c>
      <c r="F32" s="79">
        <v>10000</v>
      </c>
      <c r="G32" s="79">
        <v>40000</v>
      </c>
      <c r="H32" s="79">
        <v>1200</v>
      </c>
      <c r="I32" s="79">
        <v>4800</v>
      </c>
      <c r="J32" s="79">
        <v>13500</v>
      </c>
      <c r="K32" s="79">
        <v>54000</v>
      </c>
      <c r="L32" s="79">
        <v>2000</v>
      </c>
      <c r="M32" s="79">
        <v>8000</v>
      </c>
      <c r="N32" s="43"/>
    </row>
    <row r="33" spans="1:14" x14ac:dyDescent="0.35">
      <c r="A33" s="77">
        <v>20</v>
      </c>
      <c r="B33" s="77" t="s">
        <v>27</v>
      </c>
      <c r="C33" s="78" t="s">
        <v>197</v>
      </c>
      <c r="D33" s="77" t="s">
        <v>6</v>
      </c>
      <c r="E33" s="57">
        <v>20</v>
      </c>
      <c r="F33" s="79">
        <v>3500</v>
      </c>
      <c r="G33" s="79">
        <v>70000</v>
      </c>
      <c r="H33" s="79">
        <v>1400</v>
      </c>
      <c r="I33" s="79">
        <v>28000</v>
      </c>
      <c r="J33" s="79">
        <v>1500</v>
      </c>
      <c r="K33" s="79">
        <v>30000</v>
      </c>
      <c r="L33" s="79">
        <v>4000</v>
      </c>
      <c r="M33" s="79">
        <v>80000</v>
      </c>
      <c r="N33" s="43"/>
    </row>
    <row r="34" spans="1:14" x14ac:dyDescent="0.35">
      <c r="A34" s="77">
        <v>21</v>
      </c>
      <c r="B34" s="77" t="s">
        <v>28</v>
      </c>
      <c r="C34" s="78" t="s">
        <v>102</v>
      </c>
      <c r="D34" s="77" t="s">
        <v>3</v>
      </c>
      <c r="E34" s="57">
        <v>1</v>
      </c>
      <c r="F34" s="79">
        <v>400000</v>
      </c>
      <c r="G34" s="79">
        <v>400000</v>
      </c>
      <c r="H34" s="79">
        <v>430000</v>
      </c>
      <c r="I34" s="79">
        <v>430000</v>
      </c>
      <c r="J34" s="79">
        <v>660000</v>
      </c>
      <c r="K34" s="79">
        <v>660000</v>
      </c>
      <c r="L34" s="79">
        <v>485000</v>
      </c>
      <c r="M34" s="79">
        <v>485000</v>
      </c>
      <c r="N34" s="43"/>
    </row>
    <row r="35" spans="1:14" x14ac:dyDescent="0.35">
      <c r="A35" s="77">
        <v>22</v>
      </c>
      <c r="B35" s="77" t="s">
        <v>29</v>
      </c>
      <c r="C35" s="78" t="s">
        <v>198</v>
      </c>
      <c r="D35" s="77" t="s">
        <v>21</v>
      </c>
      <c r="E35" s="57">
        <v>9450</v>
      </c>
      <c r="F35" s="79">
        <v>20</v>
      </c>
      <c r="G35" s="79">
        <v>189000</v>
      </c>
      <c r="H35" s="79">
        <v>24</v>
      </c>
      <c r="I35" s="79">
        <v>226800</v>
      </c>
      <c r="J35" s="79">
        <v>18</v>
      </c>
      <c r="K35" s="79">
        <v>170100</v>
      </c>
      <c r="L35" s="79">
        <v>30</v>
      </c>
      <c r="M35" s="79">
        <v>283500</v>
      </c>
      <c r="N35" s="43"/>
    </row>
    <row r="36" spans="1:14" x14ac:dyDescent="0.35">
      <c r="A36" s="77">
        <v>23</v>
      </c>
      <c r="B36" s="77" t="s">
        <v>30</v>
      </c>
      <c r="C36" s="78" t="s">
        <v>199</v>
      </c>
      <c r="D36" s="77" t="s">
        <v>21</v>
      </c>
      <c r="E36" s="57">
        <v>1825</v>
      </c>
      <c r="F36" s="79">
        <v>25</v>
      </c>
      <c r="G36" s="79">
        <v>45625</v>
      </c>
      <c r="H36" s="79">
        <v>20</v>
      </c>
      <c r="I36" s="79">
        <v>36500</v>
      </c>
      <c r="J36" s="79">
        <v>15</v>
      </c>
      <c r="K36" s="79">
        <v>27375</v>
      </c>
      <c r="L36" s="79">
        <v>30</v>
      </c>
      <c r="M36" s="79">
        <v>54750</v>
      </c>
      <c r="N36" s="43"/>
    </row>
    <row r="37" spans="1:14" x14ac:dyDescent="0.35">
      <c r="A37" s="77">
        <v>24</v>
      </c>
      <c r="B37" s="77" t="s">
        <v>31</v>
      </c>
      <c r="C37" s="78" t="s">
        <v>200</v>
      </c>
      <c r="D37" s="77" t="s">
        <v>16</v>
      </c>
      <c r="E37" s="57">
        <v>20</v>
      </c>
      <c r="F37" s="79">
        <v>1750</v>
      </c>
      <c r="G37" s="79">
        <v>35000</v>
      </c>
      <c r="H37" s="79">
        <v>1200</v>
      </c>
      <c r="I37" s="79">
        <v>24000</v>
      </c>
      <c r="J37" s="79">
        <v>875</v>
      </c>
      <c r="K37" s="79">
        <v>17500</v>
      </c>
      <c r="L37" s="79">
        <v>1500</v>
      </c>
      <c r="M37" s="79">
        <v>30000</v>
      </c>
      <c r="N37" s="43"/>
    </row>
    <row r="38" spans="1:14" x14ac:dyDescent="0.35">
      <c r="A38" s="77">
        <v>25</v>
      </c>
      <c r="B38" s="77" t="s">
        <v>32</v>
      </c>
      <c r="C38" s="78" t="s">
        <v>201</v>
      </c>
      <c r="D38" s="77" t="s">
        <v>16</v>
      </c>
      <c r="E38" s="57">
        <v>24</v>
      </c>
      <c r="F38" s="79">
        <v>1750</v>
      </c>
      <c r="G38" s="79">
        <v>42000</v>
      </c>
      <c r="H38" s="79">
        <v>1130</v>
      </c>
      <c r="I38" s="79">
        <v>27120</v>
      </c>
      <c r="J38" s="79">
        <v>800</v>
      </c>
      <c r="K38" s="79">
        <v>19200</v>
      </c>
      <c r="L38" s="79">
        <v>1500</v>
      </c>
      <c r="M38" s="79">
        <v>36000</v>
      </c>
      <c r="N38" s="43"/>
    </row>
    <row r="39" spans="1:14" x14ac:dyDescent="0.35">
      <c r="A39" s="77">
        <v>26</v>
      </c>
      <c r="B39" s="77" t="s">
        <v>33</v>
      </c>
      <c r="C39" s="78" t="s">
        <v>202</v>
      </c>
      <c r="D39" s="77" t="s">
        <v>21</v>
      </c>
      <c r="E39" s="57">
        <v>21000</v>
      </c>
      <c r="F39" s="79">
        <v>2</v>
      </c>
      <c r="G39" s="79">
        <v>42000</v>
      </c>
      <c r="H39" s="79">
        <v>1.5</v>
      </c>
      <c r="I39" s="79">
        <v>31500</v>
      </c>
      <c r="J39" s="79">
        <v>1.75</v>
      </c>
      <c r="K39" s="79">
        <v>36750</v>
      </c>
      <c r="L39" s="79">
        <v>3</v>
      </c>
      <c r="M39" s="79">
        <v>63000</v>
      </c>
      <c r="N39" s="43"/>
    </row>
    <row r="40" spans="1:14" x14ac:dyDescent="0.35">
      <c r="A40" s="77">
        <v>27</v>
      </c>
      <c r="B40" s="77" t="s">
        <v>34</v>
      </c>
      <c r="C40" s="78" t="s">
        <v>203</v>
      </c>
      <c r="D40" s="77" t="s">
        <v>21</v>
      </c>
      <c r="E40" s="57">
        <v>19600</v>
      </c>
      <c r="F40" s="79">
        <v>2</v>
      </c>
      <c r="G40" s="79">
        <v>39200</v>
      </c>
      <c r="H40" s="79">
        <v>1.6</v>
      </c>
      <c r="I40" s="79">
        <v>31360</v>
      </c>
      <c r="J40" s="79">
        <v>2</v>
      </c>
      <c r="K40" s="79">
        <v>39200</v>
      </c>
      <c r="L40" s="79">
        <v>3</v>
      </c>
      <c r="M40" s="79">
        <v>58800</v>
      </c>
      <c r="N40" s="43"/>
    </row>
    <row r="41" spans="1:14" x14ac:dyDescent="0.35">
      <c r="A41" s="77">
        <v>28</v>
      </c>
      <c r="B41" s="77" t="s">
        <v>35</v>
      </c>
      <c r="C41" s="78" t="s">
        <v>204</v>
      </c>
      <c r="D41" s="77" t="s">
        <v>21</v>
      </c>
      <c r="E41" s="57">
        <v>9300</v>
      </c>
      <c r="F41" s="79">
        <v>2</v>
      </c>
      <c r="G41" s="79">
        <v>18600</v>
      </c>
      <c r="H41" s="79">
        <v>2</v>
      </c>
      <c r="I41" s="79">
        <v>18600</v>
      </c>
      <c r="J41" s="79">
        <v>2.5</v>
      </c>
      <c r="K41" s="79">
        <v>23250</v>
      </c>
      <c r="L41" s="79">
        <v>0</v>
      </c>
      <c r="M41" s="79">
        <v>0</v>
      </c>
      <c r="N41" s="43"/>
    </row>
    <row r="42" spans="1:14" x14ac:dyDescent="0.35">
      <c r="A42" s="77">
        <v>29</v>
      </c>
      <c r="B42" s="77" t="s">
        <v>36</v>
      </c>
      <c r="C42" s="78" t="s">
        <v>205</v>
      </c>
      <c r="D42" s="77" t="s">
        <v>21</v>
      </c>
      <c r="E42" s="57">
        <v>4850</v>
      </c>
      <c r="F42" s="79">
        <v>2</v>
      </c>
      <c r="G42" s="79">
        <v>9700</v>
      </c>
      <c r="H42" s="79">
        <v>1.4</v>
      </c>
      <c r="I42" s="79">
        <v>6790</v>
      </c>
      <c r="J42" s="79">
        <v>1.6</v>
      </c>
      <c r="K42" s="79">
        <v>7760</v>
      </c>
      <c r="L42" s="79">
        <v>0</v>
      </c>
      <c r="M42" s="79">
        <v>0</v>
      </c>
      <c r="N42" s="43"/>
    </row>
    <row r="43" spans="1:14" x14ac:dyDescent="0.35">
      <c r="A43" s="77">
        <v>30</v>
      </c>
      <c r="B43" s="77" t="s">
        <v>37</v>
      </c>
      <c r="C43" s="78" t="s">
        <v>206</v>
      </c>
      <c r="D43" s="77" t="s">
        <v>21</v>
      </c>
      <c r="E43" s="57">
        <v>19100</v>
      </c>
      <c r="F43" s="79">
        <v>12.5</v>
      </c>
      <c r="G43" s="79">
        <v>238750</v>
      </c>
      <c r="H43" s="79">
        <v>7.8</v>
      </c>
      <c r="I43" s="79">
        <v>148980</v>
      </c>
      <c r="J43" s="79">
        <v>9</v>
      </c>
      <c r="K43" s="79">
        <v>171900</v>
      </c>
      <c r="L43" s="79">
        <v>17</v>
      </c>
      <c r="M43" s="79">
        <v>324700</v>
      </c>
      <c r="N43" s="43"/>
    </row>
    <row r="44" spans="1:14" x14ac:dyDescent="0.35">
      <c r="A44" s="77">
        <v>31</v>
      </c>
      <c r="B44" s="77" t="s">
        <v>38</v>
      </c>
      <c r="C44" s="78" t="s">
        <v>207</v>
      </c>
      <c r="D44" s="77" t="s">
        <v>21</v>
      </c>
      <c r="E44" s="57">
        <v>250</v>
      </c>
      <c r="F44" s="79">
        <v>45</v>
      </c>
      <c r="G44" s="79">
        <v>11250</v>
      </c>
      <c r="H44" s="79">
        <v>90</v>
      </c>
      <c r="I44" s="79">
        <v>22500</v>
      </c>
      <c r="J44" s="79">
        <v>22</v>
      </c>
      <c r="K44" s="79">
        <v>5500</v>
      </c>
      <c r="L44" s="79">
        <v>39</v>
      </c>
      <c r="M44" s="79">
        <v>9750</v>
      </c>
      <c r="N44" s="43"/>
    </row>
    <row r="45" spans="1:14" x14ac:dyDescent="0.35">
      <c r="A45" s="77">
        <v>32</v>
      </c>
      <c r="B45" s="77" t="s">
        <v>39</v>
      </c>
      <c r="C45" s="78" t="s">
        <v>208</v>
      </c>
      <c r="D45" s="77" t="s">
        <v>21</v>
      </c>
      <c r="E45" s="57">
        <v>250</v>
      </c>
      <c r="F45" s="79">
        <v>20</v>
      </c>
      <c r="G45" s="79">
        <v>5000</v>
      </c>
      <c r="H45" s="79">
        <v>44</v>
      </c>
      <c r="I45" s="79">
        <v>11000</v>
      </c>
      <c r="J45" s="79">
        <v>19</v>
      </c>
      <c r="K45" s="79">
        <v>4750</v>
      </c>
      <c r="L45" s="79">
        <v>39</v>
      </c>
      <c r="M45" s="79">
        <v>9750</v>
      </c>
      <c r="N45" s="43"/>
    </row>
    <row r="46" spans="1:14" x14ac:dyDescent="0.35">
      <c r="A46" s="77">
        <v>33</v>
      </c>
      <c r="B46" s="77" t="s">
        <v>40</v>
      </c>
      <c r="C46" s="78" t="s">
        <v>209</v>
      </c>
      <c r="D46" s="77" t="s">
        <v>16</v>
      </c>
      <c r="E46" s="57">
        <v>6</v>
      </c>
      <c r="F46" s="79">
        <v>1500</v>
      </c>
      <c r="G46" s="79">
        <v>9000</v>
      </c>
      <c r="H46" s="79">
        <v>970</v>
      </c>
      <c r="I46" s="79">
        <v>5820</v>
      </c>
      <c r="J46" s="79">
        <v>800</v>
      </c>
      <c r="K46" s="79">
        <v>4800</v>
      </c>
      <c r="L46" s="79">
        <v>2500</v>
      </c>
      <c r="M46" s="79">
        <v>15000</v>
      </c>
      <c r="N46" s="43"/>
    </row>
    <row r="47" spans="1:14" x14ac:dyDescent="0.35">
      <c r="A47" s="77">
        <v>34</v>
      </c>
      <c r="B47" s="77" t="s">
        <v>41</v>
      </c>
      <c r="C47" s="78" t="s">
        <v>210</v>
      </c>
      <c r="D47" s="77" t="s">
        <v>16</v>
      </c>
      <c r="E47" s="57">
        <v>8</v>
      </c>
      <c r="F47" s="79">
        <v>5000</v>
      </c>
      <c r="G47" s="79">
        <v>40000</v>
      </c>
      <c r="H47" s="79">
        <v>2200</v>
      </c>
      <c r="I47" s="79">
        <v>17600</v>
      </c>
      <c r="J47" s="79">
        <v>2200</v>
      </c>
      <c r="K47" s="79">
        <v>17600</v>
      </c>
      <c r="L47" s="79">
        <v>2500</v>
      </c>
      <c r="M47" s="79">
        <v>20000</v>
      </c>
      <c r="N47" s="43"/>
    </row>
    <row r="48" spans="1:14" x14ac:dyDescent="0.35">
      <c r="A48" s="77">
        <v>35</v>
      </c>
      <c r="B48" s="77" t="s">
        <v>42</v>
      </c>
      <c r="C48" s="78" t="s">
        <v>145</v>
      </c>
      <c r="D48" s="77" t="s">
        <v>16</v>
      </c>
      <c r="E48" s="57">
        <v>48</v>
      </c>
      <c r="F48" s="79">
        <v>2250</v>
      </c>
      <c r="G48" s="79">
        <v>108000</v>
      </c>
      <c r="H48" s="79">
        <v>1500</v>
      </c>
      <c r="I48" s="79">
        <v>72000</v>
      </c>
      <c r="J48" s="79">
        <v>1500</v>
      </c>
      <c r="K48" s="79">
        <v>72000</v>
      </c>
      <c r="L48" s="79">
        <v>2500</v>
      </c>
      <c r="M48" s="79">
        <v>120000</v>
      </c>
      <c r="N48" s="43"/>
    </row>
    <row r="49" spans="1:14" x14ac:dyDescent="0.35">
      <c r="A49" s="77">
        <v>36</v>
      </c>
      <c r="B49" s="77" t="s">
        <v>43</v>
      </c>
      <c r="C49" s="78" t="s">
        <v>211</v>
      </c>
      <c r="D49" s="77" t="s">
        <v>16</v>
      </c>
      <c r="E49" s="57">
        <v>16</v>
      </c>
      <c r="F49" s="79">
        <v>2250</v>
      </c>
      <c r="G49" s="79">
        <v>36000</v>
      </c>
      <c r="H49" s="79">
        <v>1600</v>
      </c>
      <c r="I49" s="79">
        <v>25600</v>
      </c>
      <c r="J49" s="79">
        <v>1700</v>
      </c>
      <c r="K49" s="79">
        <v>27200</v>
      </c>
      <c r="L49" s="79">
        <v>1800</v>
      </c>
      <c r="M49" s="79">
        <v>28800</v>
      </c>
      <c r="N49" s="43"/>
    </row>
    <row r="50" spans="1:14" x14ac:dyDescent="0.35">
      <c r="A50" s="77">
        <v>37</v>
      </c>
      <c r="B50" s="77" t="s">
        <v>44</v>
      </c>
      <c r="C50" s="78" t="s">
        <v>160</v>
      </c>
      <c r="D50" s="77" t="s">
        <v>16</v>
      </c>
      <c r="E50" s="57">
        <v>81</v>
      </c>
      <c r="F50" s="79">
        <v>2000</v>
      </c>
      <c r="G50" s="79">
        <v>162000</v>
      </c>
      <c r="H50" s="79">
        <v>1500</v>
      </c>
      <c r="I50" s="79">
        <v>121500</v>
      </c>
      <c r="J50" s="79">
        <v>1350</v>
      </c>
      <c r="K50" s="79">
        <v>109350</v>
      </c>
      <c r="L50" s="79">
        <v>1500</v>
      </c>
      <c r="M50" s="79">
        <v>121500</v>
      </c>
      <c r="N50" s="43"/>
    </row>
    <row r="51" spans="1:14" x14ac:dyDescent="0.35">
      <c r="A51" s="77">
        <v>38</v>
      </c>
      <c r="B51" s="77" t="s">
        <v>45</v>
      </c>
      <c r="C51" s="78" t="s">
        <v>212</v>
      </c>
      <c r="D51" s="77" t="s">
        <v>16</v>
      </c>
      <c r="E51" s="57">
        <v>3</v>
      </c>
      <c r="F51" s="79">
        <v>8500</v>
      </c>
      <c r="G51" s="79">
        <v>25500</v>
      </c>
      <c r="H51" s="79">
        <v>5200</v>
      </c>
      <c r="I51" s="79">
        <v>15600</v>
      </c>
      <c r="J51" s="79">
        <v>5500</v>
      </c>
      <c r="K51" s="79">
        <v>16500</v>
      </c>
      <c r="L51" s="79">
        <v>4200</v>
      </c>
      <c r="M51" s="79">
        <v>12600</v>
      </c>
      <c r="N51" s="43"/>
    </row>
    <row r="52" spans="1:14" x14ac:dyDescent="0.35">
      <c r="A52" s="77">
        <v>39</v>
      </c>
      <c r="B52" s="77" t="s">
        <v>46</v>
      </c>
      <c r="C52" s="78" t="s">
        <v>213</v>
      </c>
      <c r="D52" s="77" t="s">
        <v>11</v>
      </c>
      <c r="E52" s="57">
        <v>14900</v>
      </c>
      <c r="F52" s="79">
        <v>13</v>
      </c>
      <c r="G52" s="79">
        <v>193700</v>
      </c>
      <c r="H52" s="79">
        <v>12.1</v>
      </c>
      <c r="I52" s="79">
        <v>180290</v>
      </c>
      <c r="J52" s="79">
        <v>15</v>
      </c>
      <c r="K52" s="79">
        <v>223500</v>
      </c>
      <c r="L52" s="79">
        <v>33</v>
      </c>
      <c r="M52" s="79">
        <v>491700</v>
      </c>
      <c r="N52" s="43"/>
    </row>
    <row r="53" spans="1:14" x14ac:dyDescent="0.35">
      <c r="A53" s="77">
        <v>40</v>
      </c>
      <c r="B53" s="77" t="s">
        <v>47</v>
      </c>
      <c r="C53" s="78" t="s">
        <v>107</v>
      </c>
      <c r="D53" s="77" t="s">
        <v>11</v>
      </c>
      <c r="E53" s="57">
        <v>2500</v>
      </c>
      <c r="F53" s="79">
        <v>35</v>
      </c>
      <c r="G53" s="79">
        <v>87500</v>
      </c>
      <c r="H53" s="79">
        <v>23.2</v>
      </c>
      <c r="I53" s="79">
        <v>58000</v>
      </c>
      <c r="J53" s="79">
        <v>70</v>
      </c>
      <c r="K53" s="79">
        <v>175000</v>
      </c>
      <c r="L53" s="79">
        <v>23</v>
      </c>
      <c r="M53" s="79">
        <v>57500</v>
      </c>
      <c r="N53" s="43"/>
    </row>
    <row r="54" spans="1:14" x14ac:dyDescent="0.35">
      <c r="A54" s="77">
        <v>41</v>
      </c>
      <c r="B54" s="77" t="s">
        <v>48</v>
      </c>
      <c r="C54" s="78" t="s">
        <v>214</v>
      </c>
      <c r="D54" s="77" t="s">
        <v>8</v>
      </c>
      <c r="E54" s="57">
        <v>42750</v>
      </c>
      <c r="F54" s="79">
        <v>17.5</v>
      </c>
      <c r="G54" s="79">
        <v>748125</v>
      </c>
      <c r="H54" s="79">
        <v>11.5</v>
      </c>
      <c r="I54" s="79">
        <v>491625</v>
      </c>
      <c r="J54" s="79">
        <v>18.5</v>
      </c>
      <c r="K54" s="79">
        <v>790875</v>
      </c>
      <c r="L54" s="79">
        <v>38</v>
      </c>
      <c r="M54" s="79">
        <v>1624500</v>
      </c>
      <c r="N54" s="43"/>
    </row>
    <row r="55" spans="1:14" x14ac:dyDescent="0.35">
      <c r="A55" s="77">
        <v>42</v>
      </c>
      <c r="B55" s="77" t="s">
        <v>49</v>
      </c>
      <c r="C55" s="78" t="s">
        <v>215</v>
      </c>
      <c r="D55" s="77" t="s">
        <v>8</v>
      </c>
      <c r="E55" s="57">
        <v>14000</v>
      </c>
      <c r="F55" s="79">
        <v>20</v>
      </c>
      <c r="G55" s="79">
        <v>280000</v>
      </c>
      <c r="H55" s="79">
        <v>9.5</v>
      </c>
      <c r="I55" s="79">
        <v>133000</v>
      </c>
      <c r="J55" s="79">
        <v>11</v>
      </c>
      <c r="K55" s="79">
        <v>154000</v>
      </c>
      <c r="L55" s="79">
        <v>38</v>
      </c>
      <c r="M55" s="79">
        <v>532000</v>
      </c>
      <c r="N55" s="43"/>
    </row>
    <row r="56" spans="1:14" x14ac:dyDescent="0.35">
      <c r="A56" s="77">
        <v>43</v>
      </c>
      <c r="B56" s="77" t="s">
        <v>50</v>
      </c>
      <c r="C56" s="78" t="s">
        <v>216</v>
      </c>
      <c r="D56" s="77" t="s">
        <v>51</v>
      </c>
      <c r="E56" s="57">
        <v>16700</v>
      </c>
      <c r="F56" s="79">
        <v>130</v>
      </c>
      <c r="G56" s="79">
        <v>2171000</v>
      </c>
      <c r="H56" s="79">
        <v>142</v>
      </c>
      <c r="I56" s="79">
        <v>2371400</v>
      </c>
      <c r="J56" s="79">
        <v>122</v>
      </c>
      <c r="K56" s="79">
        <v>2037400</v>
      </c>
      <c r="L56" s="79">
        <v>125</v>
      </c>
      <c r="M56" s="79">
        <v>2087500</v>
      </c>
      <c r="N56" s="43"/>
    </row>
    <row r="57" spans="1:14" x14ac:dyDescent="0.35">
      <c r="A57" s="77">
        <v>44</v>
      </c>
      <c r="B57" s="77" t="s">
        <v>52</v>
      </c>
      <c r="C57" s="78" t="s">
        <v>112</v>
      </c>
      <c r="D57" s="77" t="s">
        <v>53</v>
      </c>
      <c r="E57" s="57">
        <v>31300</v>
      </c>
      <c r="F57" s="79">
        <v>6</v>
      </c>
      <c r="G57" s="79">
        <v>187800</v>
      </c>
      <c r="H57" s="79">
        <v>5.2</v>
      </c>
      <c r="I57" s="79">
        <v>162760</v>
      </c>
      <c r="J57" s="79">
        <v>4.5</v>
      </c>
      <c r="K57" s="79">
        <v>140850</v>
      </c>
      <c r="L57" s="79">
        <v>9</v>
      </c>
      <c r="M57" s="79">
        <v>281700</v>
      </c>
      <c r="N57" s="43"/>
    </row>
    <row r="58" spans="1:14" x14ac:dyDescent="0.35">
      <c r="A58" s="77">
        <v>45</v>
      </c>
      <c r="B58" s="77" t="s">
        <v>54</v>
      </c>
      <c r="C58" s="78" t="s">
        <v>217</v>
      </c>
      <c r="D58" s="77" t="s">
        <v>8</v>
      </c>
      <c r="E58" s="57">
        <v>56750</v>
      </c>
      <c r="F58" s="79">
        <v>2</v>
      </c>
      <c r="G58" s="79">
        <v>113500</v>
      </c>
      <c r="H58" s="79">
        <v>1.7</v>
      </c>
      <c r="I58" s="79">
        <v>96475</v>
      </c>
      <c r="J58" s="79">
        <v>1.45</v>
      </c>
      <c r="K58" s="79">
        <v>82287.5</v>
      </c>
      <c r="L58" s="79">
        <v>8</v>
      </c>
      <c r="M58" s="79">
        <v>454000</v>
      </c>
      <c r="N58" s="43"/>
    </row>
    <row r="59" spans="1:14" x14ac:dyDescent="0.35">
      <c r="A59" s="77">
        <v>46</v>
      </c>
      <c r="B59" s="77" t="s">
        <v>55</v>
      </c>
      <c r="C59" s="78" t="s">
        <v>218</v>
      </c>
      <c r="D59" s="77" t="s">
        <v>8</v>
      </c>
      <c r="E59" s="57">
        <v>56750</v>
      </c>
      <c r="F59" s="79">
        <v>2</v>
      </c>
      <c r="G59" s="79">
        <v>113500</v>
      </c>
      <c r="H59" s="79">
        <v>1.6</v>
      </c>
      <c r="I59" s="79">
        <v>90800</v>
      </c>
      <c r="J59" s="79">
        <v>1.35</v>
      </c>
      <c r="K59" s="79">
        <v>76612.5</v>
      </c>
      <c r="L59" s="79">
        <v>8</v>
      </c>
      <c r="M59" s="79">
        <v>454000</v>
      </c>
      <c r="N59" s="43"/>
    </row>
    <row r="60" spans="1:14" x14ac:dyDescent="0.35">
      <c r="A60" s="77">
        <v>47</v>
      </c>
      <c r="B60" s="77" t="s">
        <v>56</v>
      </c>
      <c r="C60" s="78" t="s">
        <v>219</v>
      </c>
      <c r="D60" s="77" t="s">
        <v>57</v>
      </c>
      <c r="E60" s="57">
        <v>31500</v>
      </c>
      <c r="F60" s="79">
        <v>2</v>
      </c>
      <c r="G60" s="79">
        <v>63000</v>
      </c>
      <c r="H60" s="79">
        <v>1.2</v>
      </c>
      <c r="I60" s="79">
        <v>37800</v>
      </c>
      <c r="J60" s="79">
        <v>1.1000000000000001</v>
      </c>
      <c r="K60" s="79">
        <v>34650</v>
      </c>
      <c r="L60" s="79">
        <v>1</v>
      </c>
      <c r="M60" s="79">
        <v>31500</v>
      </c>
      <c r="N60" s="43"/>
    </row>
    <row r="61" spans="1:14" x14ac:dyDescent="0.35">
      <c r="A61" s="77">
        <v>48</v>
      </c>
      <c r="B61" s="77" t="s">
        <v>58</v>
      </c>
      <c r="C61" s="78" t="s">
        <v>220</v>
      </c>
      <c r="D61" s="77" t="s">
        <v>57</v>
      </c>
      <c r="E61" s="57">
        <v>1000</v>
      </c>
      <c r="F61" s="79">
        <v>2</v>
      </c>
      <c r="G61" s="79">
        <v>2000</v>
      </c>
      <c r="H61" s="79">
        <v>1.75</v>
      </c>
      <c r="I61" s="79">
        <v>1750</v>
      </c>
      <c r="J61" s="79">
        <v>1.65</v>
      </c>
      <c r="K61" s="79">
        <v>1650</v>
      </c>
      <c r="L61" s="79">
        <v>1</v>
      </c>
      <c r="M61" s="79">
        <v>1000</v>
      </c>
      <c r="N61" s="43"/>
    </row>
    <row r="62" spans="1:14" x14ac:dyDescent="0.35">
      <c r="A62" s="77">
        <v>49</v>
      </c>
      <c r="B62" s="77" t="s">
        <v>59</v>
      </c>
      <c r="C62" s="78" t="s">
        <v>221</v>
      </c>
      <c r="D62" s="77" t="s">
        <v>6</v>
      </c>
      <c r="E62" s="57">
        <v>14</v>
      </c>
      <c r="F62" s="79">
        <v>4500</v>
      </c>
      <c r="G62" s="79">
        <v>63000</v>
      </c>
      <c r="H62" s="79">
        <v>3400</v>
      </c>
      <c r="I62" s="79">
        <v>47600</v>
      </c>
      <c r="J62" s="79">
        <v>5000</v>
      </c>
      <c r="K62" s="79">
        <v>70000</v>
      </c>
      <c r="L62" s="79">
        <v>4000</v>
      </c>
      <c r="M62" s="79">
        <v>56000</v>
      </c>
      <c r="N62" s="43"/>
    </row>
    <row r="63" spans="1:14" ht="15" thickBot="1" x14ac:dyDescent="0.4">
      <c r="A63" s="77">
        <v>50</v>
      </c>
      <c r="B63" s="77" t="s">
        <v>60</v>
      </c>
      <c r="C63" s="78" t="s">
        <v>222</v>
      </c>
      <c r="D63" s="77" t="s">
        <v>8</v>
      </c>
      <c r="E63" s="57">
        <v>9300</v>
      </c>
      <c r="F63" s="79">
        <v>7.5</v>
      </c>
      <c r="G63" s="79">
        <v>69750</v>
      </c>
      <c r="H63" s="79">
        <v>8</v>
      </c>
      <c r="I63" s="79">
        <v>74400</v>
      </c>
      <c r="J63" s="79">
        <v>7.75</v>
      </c>
      <c r="K63" s="79">
        <v>72075</v>
      </c>
      <c r="L63" s="79">
        <v>5.5</v>
      </c>
      <c r="M63" s="79">
        <v>51150</v>
      </c>
      <c r="N63" s="43"/>
    </row>
    <row r="64" spans="1:14" ht="16" thickBot="1" x14ac:dyDescent="0.4">
      <c r="A64" s="78"/>
      <c r="B64" s="43"/>
      <c r="C64" s="78"/>
      <c r="D64" s="78"/>
      <c r="E64" s="80" t="s">
        <v>61</v>
      </c>
      <c r="F64" s="63"/>
      <c r="G64" s="63">
        <f>SUM(Table001__Page_2_3[EXTENDED TOTAL])</f>
        <v>6614130</v>
      </c>
      <c r="H64" s="63"/>
      <c r="I64" s="63">
        <f>SUM(Table001__Page_2_3[EXTENDED TOTAL2])</f>
        <v>6296323.5999999996</v>
      </c>
      <c r="J64" s="63"/>
      <c r="K64" s="63">
        <f>SUM(Table001__Page_2_3[EXTENDED TOTAL3])</f>
        <v>6607538</v>
      </c>
      <c r="L64" s="63"/>
      <c r="M64" s="64">
        <f>SUM(Table001__Page_2_3[EXTENDED TOTAL4])</f>
        <v>8987115.5</v>
      </c>
      <c r="N64" s="43"/>
    </row>
    <row r="65" spans="1:14" x14ac:dyDescent="0.35">
      <c r="A65" s="43"/>
      <c r="B65" s="43"/>
      <c r="C65" s="43"/>
      <c r="D65" s="43"/>
      <c r="E65" s="43"/>
      <c r="F65" s="43"/>
      <c r="G65" s="43"/>
      <c r="H65" s="43"/>
      <c r="I65" s="43"/>
      <c r="J65" s="43"/>
      <c r="K65" s="43"/>
      <c r="L65" s="43"/>
      <c r="M65" s="43"/>
      <c r="N65" s="43"/>
    </row>
    <row r="66" spans="1:14" x14ac:dyDescent="0.35">
      <c r="A66" s="43"/>
      <c r="B66" s="43"/>
      <c r="C66" s="43"/>
      <c r="D66" s="43"/>
      <c r="E66" s="43"/>
      <c r="F66" s="43"/>
      <c r="G66" s="43"/>
      <c r="H66" s="43"/>
      <c r="I66" s="43"/>
      <c r="J66" s="43"/>
      <c r="K66" s="43"/>
      <c r="L66" s="43"/>
      <c r="M66" s="43"/>
      <c r="N66" s="43"/>
    </row>
  </sheetData>
  <mergeCells count="5">
    <mergeCell ref="F12:G12"/>
    <mergeCell ref="H12:I12"/>
    <mergeCell ref="J12:K12"/>
    <mergeCell ref="L12:M12"/>
    <mergeCell ref="A12:E12"/>
  </mergeCell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88A7-7434-4359-9145-E3142BE9CC1E}">
  <dimension ref="A1:R86"/>
  <sheetViews>
    <sheetView zoomScale="60" zoomScaleNormal="60" workbookViewId="0"/>
  </sheetViews>
  <sheetFormatPr defaultRowHeight="14.5" x14ac:dyDescent="0.35"/>
  <cols>
    <col min="1" max="1" width="32.1796875" bestFit="1" customWidth="1"/>
    <col min="2" max="2" width="30.453125" bestFit="1" customWidth="1"/>
    <col min="3" max="3" width="122.7265625" bestFit="1" customWidth="1"/>
    <col min="4" max="4" width="17.26953125" customWidth="1"/>
    <col min="5" max="5" width="80.453125" bestFit="1" customWidth="1"/>
    <col min="6" max="6" width="24.453125" bestFit="1" customWidth="1"/>
    <col min="7" max="7" width="32.7265625" bestFit="1" customWidth="1"/>
    <col min="8" max="8" width="26.1796875" bestFit="1" customWidth="1"/>
    <col min="9" max="9" width="34.1796875" bestFit="1" customWidth="1"/>
    <col min="10" max="10" width="26.1796875" bestFit="1" customWidth="1"/>
    <col min="11" max="11" width="34.1796875" bestFit="1" customWidth="1"/>
    <col min="12" max="12" width="26.1796875" bestFit="1" customWidth="1"/>
    <col min="13" max="13" width="34.1796875" bestFit="1" customWidth="1"/>
    <col min="14" max="14" width="25.26953125" bestFit="1" customWidth="1"/>
    <col min="15" max="15" width="34.1796875" bestFit="1" customWidth="1"/>
    <col min="18" max="18" width="15.1796875" bestFit="1" customWidth="1"/>
  </cols>
  <sheetData>
    <row r="1" spans="1:16" x14ac:dyDescent="0.35">
      <c r="A1" s="43"/>
      <c r="B1" s="43"/>
      <c r="C1" s="43"/>
      <c r="D1" s="43"/>
      <c r="E1" s="43"/>
      <c r="F1" s="43"/>
      <c r="G1" s="43"/>
      <c r="H1" s="43"/>
      <c r="I1" s="43"/>
      <c r="J1" s="43"/>
      <c r="K1" s="43"/>
      <c r="L1" s="43"/>
      <c r="M1" s="43"/>
      <c r="N1" s="43"/>
      <c r="O1" s="43"/>
      <c r="P1" s="43"/>
    </row>
    <row r="2" spans="1:16" x14ac:dyDescent="0.35">
      <c r="A2" s="43"/>
      <c r="B2" s="43"/>
      <c r="C2" s="43"/>
      <c r="D2" s="43"/>
      <c r="E2" s="43"/>
      <c r="F2" s="43"/>
      <c r="G2" s="43"/>
      <c r="H2" s="43"/>
      <c r="I2" s="43"/>
      <c r="J2" s="43"/>
      <c r="K2" s="43"/>
      <c r="L2" s="43"/>
      <c r="M2" s="43"/>
      <c r="N2" s="43"/>
      <c r="O2" s="43"/>
      <c r="P2" s="43"/>
    </row>
    <row r="3" spans="1:16" ht="15.5" x14ac:dyDescent="0.35">
      <c r="A3" s="50" t="s">
        <v>65</v>
      </c>
      <c r="B3" s="43" t="s">
        <v>360</v>
      </c>
      <c r="C3" s="43"/>
      <c r="D3" s="43"/>
      <c r="E3" s="43"/>
      <c r="F3" s="43"/>
      <c r="G3" s="43"/>
      <c r="H3" s="43"/>
      <c r="I3" s="43"/>
      <c r="J3" s="43"/>
      <c r="K3" s="43"/>
      <c r="L3" s="43"/>
      <c r="M3" s="43"/>
      <c r="N3" s="43"/>
      <c r="O3" s="43"/>
      <c r="P3" s="43"/>
    </row>
    <row r="4" spans="1:16" ht="15.5" x14ac:dyDescent="0.35">
      <c r="A4" s="50" t="s">
        <v>67</v>
      </c>
      <c r="B4" s="43" t="str">
        <f>VLOOKUP(B3,DATA!$A$2:$E$80,3)</f>
        <v>Dickson</v>
      </c>
      <c r="C4" s="43"/>
      <c r="D4" s="43"/>
      <c r="E4" s="43"/>
      <c r="F4" s="43"/>
      <c r="G4" s="43"/>
      <c r="H4" s="43"/>
      <c r="I4" s="43"/>
      <c r="J4" s="43"/>
      <c r="K4" s="43"/>
      <c r="L4" s="43"/>
      <c r="M4" s="43"/>
      <c r="N4" s="43"/>
      <c r="O4" s="43"/>
      <c r="P4" s="43"/>
    </row>
    <row r="5" spans="1:16" ht="15.5" x14ac:dyDescent="0.35">
      <c r="A5" s="50" t="s">
        <v>69</v>
      </c>
      <c r="B5" s="43" t="str">
        <f>VLOOKUP(B3,DATA!$A$2:$E$80,4)</f>
        <v>Dickson Municipal</v>
      </c>
      <c r="C5" s="43"/>
      <c r="D5" s="43"/>
      <c r="E5" s="43"/>
      <c r="F5" s="43"/>
      <c r="G5" s="43"/>
      <c r="H5" s="43"/>
      <c r="I5" s="43"/>
      <c r="J5" s="43"/>
      <c r="K5" s="43"/>
      <c r="L5" s="43"/>
      <c r="M5" s="43"/>
      <c r="N5" s="43"/>
      <c r="O5" s="43"/>
      <c r="P5" s="43"/>
    </row>
    <row r="6" spans="1:16" ht="15.5" x14ac:dyDescent="0.35">
      <c r="A6" s="50" t="s">
        <v>70</v>
      </c>
      <c r="B6" s="43" t="s">
        <v>361</v>
      </c>
      <c r="C6" s="43"/>
      <c r="D6" s="43"/>
      <c r="E6" s="43"/>
      <c r="F6" s="43"/>
      <c r="G6" s="43"/>
      <c r="H6" s="43"/>
      <c r="I6" s="43"/>
      <c r="J6" s="43"/>
      <c r="K6" s="43"/>
      <c r="L6" s="43"/>
      <c r="M6" s="43"/>
      <c r="N6" s="43"/>
      <c r="O6" s="43"/>
      <c r="P6" s="43"/>
    </row>
    <row r="7" spans="1:16" ht="15.5" x14ac:dyDescent="0.35">
      <c r="A7" s="50" t="s">
        <v>71</v>
      </c>
      <c r="B7" s="43" t="s">
        <v>746</v>
      </c>
      <c r="C7" s="43"/>
      <c r="D7" s="43"/>
      <c r="E7" s="43"/>
      <c r="F7" s="43"/>
      <c r="G7" s="43"/>
      <c r="H7" s="43"/>
      <c r="I7" s="43"/>
      <c r="J7" s="43"/>
      <c r="K7" s="43"/>
      <c r="L7" s="43"/>
      <c r="M7" s="43"/>
      <c r="N7" s="43"/>
      <c r="O7" s="43"/>
      <c r="P7" s="43"/>
    </row>
    <row r="8" spans="1:16" ht="15.5" x14ac:dyDescent="0.35">
      <c r="A8" s="50" t="s">
        <v>362</v>
      </c>
      <c r="B8" s="51">
        <v>44580</v>
      </c>
      <c r="C8" s="43"/>
      <c r="D8" s="43"/>
      <c r="E8" s="43"/>
      <c r="F8" s="43"/>
      <c r="G8" s="43"/>
      <c r="H8" s="43"/>
      <c r="I8" s="43"/>
      <c r="J8" s="43"/>
      <c r="K8" s="43"/>
      <c r="L8" s="43"/>
      <c r="M8" s="43"/>
      <c r="N8" s="43"/>
      <c r="O8" s="43"/>
      <c r="P8" s="43"/>
    </row>
    <row r="9" spans="1:16" ht="15.5" x14ac:dyDescent="0.35">
      <c r="A9" s="50" t="s">
        <v>363</v>
      </c>
      <c r="B9" s="51">
        <v>44455</v>
      </c>
      <c r="C9" s="43"/>
      <c r="D9" s="43"/>
      <c r="E9" s="43"/>
      <c r="F9" s="43"/>
      <c r="G9" s="43"/>
      <c r="H9" s="43"/>
      <c r="I9" s="43"/>
      <c r="J9" s="43"/>
      <c r="K9" s="43"/>
      <c r="L9" s="43"/>
      <c r="M9" s="43"/>
      <c r="N9" s="43"/>
      <c r="O9" s="43"/>
      <c r="P9" s="43"/>
    </row>
    <row r="10" spans="1:16" ht="15.5" x14ac:dyDescent="0.35">
      <c r="A10" s="50" t="s">
        <v>66</v>
      </c>
      <c r="B10" s="43" t="str">
        <f>VLOOKUP(B3,DATA!$A$2:$E$80,2)</f>
        <v>Dickson</v>
      </c>
      <c r="C10" s="43"/>
      <c r="D10" s="43"/>
      <c r="E10" s="43"/>
      <c r="F10" s="43"/>
      <c r="G10" s="43"/>
      <c r="H10" s="43"/>
      <c r="I10" s="43"/>
      <c r="J10" s="43"/>
      <c r="K10" s="43"/>
      <c r="L10" s="43"/>
      <c r="M10" s="43"/>
      <c r="N10" s="43"/>
      <c r="O10" s="43"/>
      <c r="P10" s="43"/>
    </row>
    <row r="11" spans="1:16" ht="15.5" x14ac:dyDescent="0.35">
      <c r="A11" s="50" t="s">
        <v>68</v>
      </c>
      <c r="B11" s="43" t="str">
        <f>VLOOKUP(B3,DATA!$A$2:$E$80,5)</f>
        <v>Middle</v>
      </c>
      <c r="C11" s="43"/>
      <c r="D11" s="43"/>
      <c r="E11" s="43"/>
      <c r="F11" s="43"/>
      <c r="G11" s="43"/>
      <c r="H11" s="43"/>
      <c r="I11" s="43"/>
      <c r="J11" s="43"/>
      <c r="K11" s="43"/>
      <c r="L11" s="43"/>
      <c r="M11" s="43"/>
      <c r="N11" s="43"/>
      <c r="O11" s="43"/>
      <c r="P11" s="43"/>
    </row>
    <row r="12" spans="1:16" x14ac:dyDescent="0.35">
      <c r="A12" s="43"/>
      <c r="B12" s="43"/>
      <c r="C12" s="43"/>
      <c r="D12" s="43"/>
      <c r="E12" s="43"/>
      <c r="F12" s="43"/>
      <c r="G12" s="43"/>
      <c r="H12" s="43"/>
      <c r="I12" s="43"/>
      <c r="J12" s="43"/>
      <c r="K12" s="43"/>
      <c r="L12" s="43"/>
      <c r="M12" s="43"/>
      <c r="N12" s="43"/>
      <c r="O12" s="43"/>
      <c r="P12" s="43"/>
    </row>
    <row r="13" spans="1:16" ht="15" thickBot="1" x14ac:dyDescent="0.4">
      <c r="A13" s="43"/>
      <c r="B13" s="43"/>
      <c r="C13" s="43"/>
      <c r="D13" s="43"/>
      <c r="E13" s="43"/>
      <c r="F13" s="43"/>
      <c r="G13" s="43"/>
      <c r="H13" s="43"/>
      <c r="I13" s="43"/>
      <c r="J13" s="43"/>
      <c r="K13" s="43"/>
      <c r="L13" s="43"/>
      <c r="M13" s="43"/>
      <c r="N13" s="43"/>
      <c r="O13" s="43"/>
      <c r="P13" s="43"/>
    </row>
    <row r="14" spans="1:16" ht="15.5" x14ac:dyDescent="0.35">
      <c r="A14" s="240" t="s">
        <v>408</v>
      </c>
      <c r="B14" s="242"/>
      <c r="C14" s="242"/>
      <c r="D14" s="242"/>
      <c r="E14" s="241"/>
      <c r="F14" s="240" t="s">
        <v>75</v>
      </c>
      <c r="G14" s="241"/>
      <c r="H14" s="240" t="s">
        <v>407</v>
      </c>
      <c r="I14" s="241"/>
      <c r="J14" s="240" t="s">
        <v>404</v>
      </c>
      <c r="K14" s="241"/>
      <c r="L14" s="240" t="s">
        <v>405</v>
      </c>
      <c r="M14" s="241"/>
      <c r="N14" s="240" t="s">
        <v>406</v>
      </c>
      <c r="O14" s="241"/>
      <c r="P14" s="43"/>
    </row>
    <row r="15" spans="1:16" x14ac:dyDescent="0.35">
      <c r="A15" s="57" t="s">
        <v>62</v>
      </c>
      <c r="B15" s="57" t="s">
        <v>98</v>
      </c>
      <c r="C15" s="57" t="s">
        <v>0</v>
      </c>
      <c r="D15" s="57" t="s">
        <v>1</v>
      </c>
      <c r="E15" s="57" t="s">
        <v>64</v>
      </c>
      <c r="F15" s="57" t="s">
        <v>262</v>
      </c>
      <c r="G15" s="57" t="s">
        <v>94</v>
      </c>
      <c r="H15" s="57" t="s">
        <v>355</v>
      </c>
      <c r="I15" s="57" t="s">
        <v>357</v>
      </c>
      <c r="J15" s="57" t="s">
        <v>420</v>
      </c>
      <c r="K15" s="57" t="s">
        <v>421</v>
      </c>
      <c r="L15" s="57" t="s">
        <v>422</v>
      </c>
      <c r="M15" s="57" t="s">
        <v>423</v>
      </c>
      <c r="N15" s="57" t="s">
        <v>403</v>
      </c>
      <c r="O15" s="57" t="s">
        <v>424</v>
      </c>
      <c r="P15" s="43"/>
    </row>
    <row r="16" spans="1:16" x14ac:dyDescent="0.35">
      <c r="A16" s="57">
        <v>1</v>
      </c>
      <c r="B16" s="57" t="s">
        <v>99</v>
      </c>
      <c r="C16" s="43" t="s">
        <v>364</v>
      </c>
      <c r="D16" s="57" t="s">
        <v>3</v>
      </c>
      <c r="E16" s="57">
        <v>1</v>
      </c>
      <c r="F16" s="58">
        <v>10000</v>
      </c>
      <c r="G16" s="58">
        <v>10000</v>
      </c>
      <c r="H16" s="58">
        <v>5000</v>
      </c>
      <c r="I16" s="58">
        <v>5000</v>
      </c>
      <c r="J16" s="58">
        <v>5000</v>
      </c>
      <c r="K16" s="58">
        <v>5000</v>
      </c>
      <c r="L16" s="58">
        <v>27775</v>
      </c>
      <c r="M16" s="58">
        <v>27775</v>
      </c>
      <c r="N16" s="58">
        <v>21080</v>
      </c>
      <c r="O16" s="58">
        <v>21080</v>
      </c>
      <c r="P16" s="43"/>
    </row>
    <row r="17" spans="1:18" x14ac:dyDescent="0.35">
      <c r="A17" s="57">
        <v>2</v>
      </c>
      <c r="B17" s="57" t="s">
        <v>365</v>
      </c>
      <c r="C17" s="43" t="s">
        <v>410</v>
      </c>
      <c r="D17" s="57" t="s">
        <v>3</v>
      </c>
      <c r="E17" s="57">
        <v>1</v>
      </c>
      <c r="F17" s="58">
        <v>8000</v>
      </c>
      <c r="G17" s="58">
        <v>8000</v>
      </c>
      <c r="H17" s="58">
        <v>2500</v>
      </c>
      <c r="I17" s="58">
        <v>2500</v>
      </c>
      <c r="J17" s="58">
        <v>10000</v>
      </c>
      <c r="K17" s="58">
        <v>10000</v>
      </c>
      <c r="L17" s="58">
        <v>6050</v>
      </c>
      <c r="M17" s="58">
        <v>6050</v>
      </c>
      <c r="N17" s="58">
        <v>132820</v>
      </c>
      <c r="O17" s="58">
        <v>132820</v>
      </c>
      <c r="P17" s="43"/>
    </row>
    <row r="18" spans="1:18" x14ac:dyDescent="0.35">
      <c r="A18" s="57">
        <v>3</v>
      </c>
      <c r="B18" s="57" t="s">
        <v>20</v>
      </c>
      <c r="C18" s="43" t="s">
        <v>366</v>
      </c>
      <c r="D18" s="57" t="s">
        <v>3</v>
      </c>
      <c r="E18" s="57">
        <v>1</v>
      </c>
      <c r="F18" s="58">
        <v>3000</v>
      </c>
      <c r="G18" s="58">
        <v>3000</v>
      </c>
      <c r="H18" s="58">
        <v>2500</v>
      </c>
      <c r="I18" s="58">
        <v>2500</v>
      </c>
      <c r="J18" s="58">
        <v>5000</v>
      </c>
      <c r="K18" s="58">
        <v>5000</v>
      </c>
      <c r="L18" s="58">
        <v>4180</v>
      </c>
      <c r="M18" s="58">
        <v>4180</v>
      </c>
      <c r="N18" s="58">
        <v>81880</v>
      </c>
      <c r="O18" s="58">
        <v>81880</v>
      </c>
      <c r="P18" s="43"/>
    </row>
    <row r="19" spans="1:18" x14ac:dyDescent="0.35">
      <c r="A19" s="57">
        <v>4</v>
      </c>
      <c r="B19" s="57" t="s">
        <v>367</v>
      </c>
      <c r="C19" s="43" t="s">
        <v>368</v>
      </c>
      <c r="D19" s="57" t="s">
        <v>3</v>
      </c>
      <c r="E19" s="57">
        <v>1</v>
      </c>
      <c r="F19" s="58">
        <v>75300</v>
      </c>
      <c r="G19" s="58">
        <v>75300</v>
      </c>
      <c r="H19" s="58">
        <v>20000</v>
      </c>
      <c r="I19" s="58">
        <v>20000</v>
      </c>
      <c r="J19" s="58">
        <v>100000</v>
      </c>
      <c r="K19" s="58">
        <v>100000</v>
      </c>
      <c r="L19" s="58">
        <v>15400</v>
      </c>
      <c r="M19" s="58">
        <v>15400</v>
      </c>
      <c r="N19" s="58">
        <v>338640</v>
      </c>
      <c r="O19" s="58">
        <v>338640</v>
      </c>
      <c r="P19" s="43"/>
    </row>
    <row r="20" spans="1:18" x14ac:dyDescent="0.35">
      <c r="A20" s="57">
        <v>5</v>
      </c>
      <c r="B20" s="57" t="s">
        <v>369</v>
      </c>
      <c r="C20" s="43" t="s">
        <v>370</v>
      </c>
      <c r="D20" s="57" t="s">
        <v>3</v>
      </c>
      <c r="E20" s="57">
        <v>1</v>
      </c>
      <c r="F20" s="58">
        <v>13100</v>
      </c>
      <c r="G20" s="58">
        <v>13100</v>
      </c>
      <c r="H20" s="58">
        <v>12500</v>
      </c>
      <c r="I20" s="58">
        <v>12500</v>
      </c>
      <c r="J20" s="58">
        <v>20000</v>
      </c>
      <c r="K20" s="58">
        <v>20000</v>
      </c>
      <c r="L20" s="58">
        <v>19000</v>
      </c>
      <c r="M20" s="58">
        <v>19000</v>
      </c>
      <c r="N20" s="58">
        <v>26970</v>
      </c>
      <c r="O20" s="58">
        <v>26970</v>
      </c>
      <c r="P20" s="43"/>
      <c r="R20" s="4"/>
    </row>
    <row r="21" spans="1:18" x14ac:dyDescent="0.35">
      <c r="A21" s="57">
        <v>6</v>
      </c>
      <c r="B21" s="57" t="s">
        <v>371</v>
      </c>
      <c r="C21" s="43" t="s">
        <v>372</v>
      </c>
      <c r="D21" s="57" t="s">
        <v>3</v>
      </c>
      <c r="E21" s="57">
        <v>1</v>
      </c>
      <c r="F21" s="58">
        <v>8000</v>
      </c>
      <c r="G21" s="58">
        <v>8000</v>
      </c>
      <c r="H21" s="58">
        <v>10000</v>
      </c>
      <c r="I21" s="58">
        <v>10000</v>
      </c>
      <c r="J21" s="58">
        <v>16500</v>
      </c>
      <c r="K21" s="58">
        <v>16500</v>
      </c>
      <c r="L21" s="58">
        <v>22385</v>
      </c>
      <c r="M21" s="58">
        <v>22385</v>
      </c>
      <c r="N21" s="58">
        <v>67280</v>
      </c>
      <c r="O21" s="58">
        <v>67280</v>
      </c>
      <c r="P21" s="43"/>
    </row>
    <row r="22" spans="1:18" x14ac:dyDescent="0.35">
      <c r="A22" s="57">
        <v>7</v>
      </c>
      <c r="B22" s="57" t="s">
        <v>373</v>
      </c>
      <c r="C22" s="43" t="s">
        <v>374</v>
      </c>
      <c r="D22" s="57" t="s">
        <v>3</v>
      </c>
      <c r="E22" s="57">
        <v>1</v>
      </c>
      <c r="F22" s="58">
        <v>8680</v>
      </c>
      <c r="G22" s="58">
        <v>8680</v>
      </c>
      <c r="H22" s="58">
        <v>2000</v>
      </c>
      <c r="I22" s="58">
        <v>2000</v>
      </c>
      <c r="J22" s="58">
        <v>1000</v>
      </c>
      <c r="K22" s="58">
        <v>1000</v>
      </c>
      <c r="L22" s="58">
        <v>1485</v>
      </c>
      <c r="M22" s="58">
        <v>1485</v>
      </c>
      <c r="N22" s="58">
        <v>6730</v>
      </c>
      <c r="O22" s="58">
        <v>6730</v>
      </c>
      <c r="P22" s="43"/>
    </row>
    <row r="23" spans="1:18" x14ac:dyDescent="0.35">
      <c r="A23" s="57">
        <v>8</v>
      </c>
      <c r="B23" s="57" t="s">
        <v>375</v>
      </c>
      <c r="C23" s="43" t="s">
        <v>409</v>
      </c>
      <c r="D23" s="57" t="s">
        <v>3</v>
      </c>
      <c r="E23" s="57">
        <v>1</v>
      </c>
      <c r="F23" s="58">
        <v>10000</v>
      </c>
      <c r="G23" s="58">
        <v>10000</v>
      </c>
      <c r="H23" s="58">
        <v>7500</v>
      </c>
      <c r="I23" s="58">
        <v>7500</v>
      </c>
      <c r="J23" s="58">
        <v>30000</v>
      </c>
      <c r="K23" s="58">
        <v>30000</v>
      </c>
      <c r="L23" s="58">
        <v>4620</v>
      </c>
      <c r="M23" s="58">
        <v>4620</v>
      </c>
      <c r="N23" s="58">
        <v>48086</v>
      </c>
      <c r="O23" s="58">
        <v>48086</v>
      </c>
      <c r="P23" s="43"/>
    </row>
    <row r="24" spans="1:18" x14ac:dyDescent="0.35">
      <c r="A24" s="57">
        <v>9</v>
      </c>
      <c r="B24" s="57" t="s">
        <v>376</v>
      </c>
      <c r="C24" s="43" t="s">
        <v>377</v>
      </c>
      <c r="D24" s="57" t="s">
        <v>16</v>
      </c>
      <c r="E24" s="57">
        <v>16</v>
      </c>
      <c r="F24" s="58">
        <v>500</v>
      </c>
      <c r="G24" s="58">
        <v>8000</v>
      </c>
      <c r="H24" s="58">
        <v>75</v>
      </c>
      <c r="I24" s="58">
        <v>1200</v>
      </c>
      <c r="J24" s="58">
        <v>250</v>
      </c>
      <c r="K24" s="58">
        <v>4000</v>
      </c>
      <c r="L24" s="58">
        <v>299.2</v>
      </c>
      <c r="M24" s="58">
        <v>4787.2</v>
      </c>
      <c r="N24" s="58">
        <v>55</v>
      </c>
      <c r="O24" s="58">
        <v>880</v>
      </c>
      <c r="P24" s="43"/>
    </row>
    <row r="25" spans="1:18" x14ac:dyDescent="0.35">
      <c r="A25" s="57">
        <v>10</v>
      </c>
      <c r="B25" s="57" t="s">
        <v>276</v>
      </c>
      <c r="C25" s="43" t="s">
        <v>378</v>
      </c>
      <c r="D25" s="57" t="s">
        <v>16</v>
      </c>
      <c r="E25" s="57">
        <v>4</v>
      </c>
      <c r="F25" s="58">
        <v>1000</v>
      </c>
      <c r="G25" s="58">
        <v>4000</v>
      </c>
      <c r="H25" s="58">
        <v>500</v>
      </c>
      <c r="I25" s="58">
        <v>2000</v>
      </c>
      <c r="J25" s="58">
        <v>1500</v>
      </c>
      <c r="K25" s="58">
        <v>6000</v>
      </c>
      <c r="L25" s="58">
        <v>539</v>
      </c>
      <c r="M25" s="58">
        <v>2156</v>
      </c>
      <c r="N25" s="58">
        <v>320</v>
      </c>
      <c r="O25" s="58">
        <v>1280</v>
      </c>
      <c r="P25" s="43"/>
    </row>
    <row r="26" spans="1:18" x14ac:dyDescent="0.35">
      <c r="A26" s="57">
        <v>11</v>
      </c>
      <c r="B26" s="57" t="s">
        <v>278</v>
      </c>
      <c r="C26" s="43" t="s">
        <v>379</v>
      </c>
      <c r="D26" s="57" t="s">
        <v>16</v>
      </c>
      <c r="E26" s="57">
        <v>10</v>
      </c>
      <c r="F26" s="58">
        <v>500</v>
      </c>
      <c r="G26" s="58">
        <v>5000</v>
      </c>
      <c r="H26" s="58">
        <v>75</v>
      </c>
      <c r="I26" s="58">
        <v>750</v>
      </c>
      <c r="J26" s="58">
        <v>250</v>
      </c>
      <c r="K26" s="58">
        <v>2500</v>
      </c>
      <c r="L26" s="58">
        <v>302</v>
      </c>
      <c r="M26" s="58">
        <v>3020</v>
      </c>
      <c r="N26" s="58">
        <v>122</v>
      </c>
      <c r="O26" s="58">
        <v>1220</v>
      </c>
      <c r="P26" s="43"/>
    </row>
    <row r="27" spans="1:18" x14ac:dyDescent="0.35">
      <c r="A27" s="57">
        <v>12</v>
      </c>
      <c r="B27" s="57" t="s">
        <v>380</v>
      </c>
      <c r="C27" s="43" t="s">
        <v>381</v>
      </c>
      <c r="D27" s="57" t="s">
        <v>16</v>
      </c>
      <c r="E27" s="57">
        <v>46</v>
      </c>
      <c r="F27" s="58">
        <v>150</v>
      </c>
      <c r="G27" s="58">
        <v>6900</v>
      </c>
      <c r="H27" s="58">
        <v>50</v>
      </c>
      <c r="I27" s="58">
        <v>2300</v>
      </c>
      <c r="J27" s="58">
        <v>200</v>
      </c>
      <c r="K27" s="58">
        <v>9200</v>
      </c>
      <c r="L27" s="58">
        <v>330</v>
      </c>
      <c r="M27" s="58">
        <v>15180</v>
      </c>
      <c r="N27" s="58">
        <v>73</v>
      </c>
      <c r="O27" s="58">
        <v>3358</v>
      </c>
      <c r="P27" s="43"/>
    </row>
    <row r="28" spans="1:18" x14ac:dyDescent="0.35">
      <c r="A28" s="57">
        <v>13</v>
      </c>
      <c r="B28" s="57" t="s">
        <v>382</v>
      </c>
      <c r="C28" s="43" t="s">
        <v>383</v>
      </c>
      <c r="D28" s="57" t="s">
        <v>3</v>
      </c>
      <c r="E28" s="57">
        <v>1</v>
      </c>
      <c r="F28" s="58">
        <v>5000</v>
      </c>
      <c r="G28" s="58">
        <v>5000</v>
      </c>
      <c r="H28" s="58">
        <v>500</v>
      </c>
      <c r="I28" s="58">
        <v>500</v>
      </c>
      <c r="J28" s="58">
        <v>1000</v>
      </c>
      <c r="K28" s="58">
        <v>1000</v>
      </c>
      <c r="L28" s="58">
        <v>1402</v>
      </c>
      <c r="M28" s="58">
        <v>1402</v>
      </c>
      <c r="N28" s="58">
        <v>2980</v>
      </c>
      <c r="O28" s="58">
        <v>2980</v>
      </c>
      <c r="P28" s="43"/>
    </row>
    <row r="29" spans="1:18" x14ac:dyDescent="0.35">
      <c r="A29" s="57">
        <v>14</v>
      </c>
      <c r="B29" s="57" t="s">
        <v>384</v>
      </c>
      <c r="C29" s="43" t="s">
        <v>411</v>
      </c>
      <c r="D29" s="57" t="s">
        <v>16</v>
      </c>
      <c r="E29" s="57">
        <v>8</v>
      </c>
      <c r="F29" s="58">
        <v>1000</v>
      </c>
      <c r="G29" s="58">
        <v>8000</v>
      </c>
      <c r="H29" s="58">
        <v>450</v>
      </c>
      <c r="I29" s="58">
        <v>3600</v>
      </c>
      <c r="J29" s="58">
        <v>1000</v>
      </c>
      <c r="K29" s="58">
        <v>8000</v>
      </c>
      <c r="L29" s="58">
        <v>792</v>
      </c>
      <c r="M29" s="58">
        <v>6336</v>
      </c>
      <c r="N29" s="58">
        <v>730</v>
      </c>
      <c r="O29" s="58">
        <v>5840</v>
      </c>
      <c r="P29" s="43"/>
    </row>
    <row r="30" spans="1:18" x14ac:dyDescent="0.35">
      <c r="A30" s="57">
        <v>15</v>
      </c>
      <c r="B30" s="57" t="s">
        <v>385</v>
      </c>
      <c r="C30" s="43" t="s">
        <v>386</v>
      </c>
      <c r="D30" s="57" t="s">
        <v>21</v>
      </c>
      <c r="E30" s="59">
        <v>7500</v>
      </c>
      <c r="F30" s="58">
        <v>0.75</v>
      </c>
      <c r="G30" s="58">
        <v>5625</v>
      </c>
      <c r="H30" s="58">
        <v>0.75</v>
      </c>
      <c r="I30" s="58">
        <v>5625</v>
      </c>
      <c r="J30" s="58">
        <v>0.5</v>
      </c>
      <c r="K30" s="58">
        <v>3750</v>
      </c>
      <c r="L30" s="58">
        <v>1.37</v>
      </c>
      <c r="M30" s="58">
        <v>10275</v>
      </c>
      <c r="N30" s="58">
        <v>0.55000000000000004</v>
      </c>
      <c r="O30" s="58">
        <v>4125</v>
      </c>
      <c r="P30" s="43"/>
    </row>
    <row r="31" spans="1:18" x14ac:dyDescent="0.35">
      <c r="A31" s="57">
        <v>16</v>
      </c>
      <c r="B31" s="57" t="s">
        <v>34</v>
      </c>
      <c r="C31" s="43" t="s">
        <v>412</v>
      </c>
      <c r="D31" s="57" t="s">
        <v>21</v>
      </c>
      <c r="E31" s="59">
        <v>13550</v>
      </c>
      <c r="F31" s="58">
        <v>1.75</v>
      </c>
      <c r="G31" s="58">
        <v>23712.5</v>
      </c>
      <c r="H31" s="58">
        <v>1.45</v>
      </c>
      <c r="I31" s="58">
        <v>19647.5</v>
      </c>
      <c r="J31" s="58">
        <v>1.45</v>
      </c>
      <c r="K31" s="58">
        <v>19647.5</v>
      </c>
      <c r="L31" s="58">
        <v>6.6</v>
      </c>
      <c r="M31" s="58">
        <v>89430</v>
      </c>
      <c r="N31" s="58">
        <v>2.2999999999999998</v>
      </c>
      <c r="O31" s="58">
        <v>31165</v>
      </c>
      <c r="P31" s="43"/>
    </row>
    <row r="32" spans="1:18" x14ac:dyDescent="0.35">
      <c r="A32" s="57">
        <v>17</v>
      </c>
      <c r="B32" s="57" t="s">
        <v>36</v>
      </c>
      <c r="C32" s="43" t="s">
        <v>413</v>
      </c>
      <c r="D32" s="57" t="s">
        <v>21</v>
      </c>
      <c r="E32" s="59">
        <v>9470</v>
      </c>
      <c r="F32" s="58">
        <v>1.75</v>
      </c>
      <c r="G32" s="58">
        <v>16572.5</v>
      </c>
      <c r="H32" s="58">
        <v>1.45</v>
      </c>
      <c r="I32" s="58">
        <v>13731.5</v>
      </c>
      <c r="J32" s="58">
        <v>1.45</v>
      </c>
      <c r="K32" s="58">
        <v>13731.5</v>
      </c>
      <c r="L32" s="58">
        <v>6.6</v>
      </c>
      <c r="M32" s="58">
        <v>62502</v>
      </c>
      <c r="N32" s="58">
        <v>2.2999999999999998</v>
      </c>
      <c r="O32" s="58">
        <v>21781</v>
      </c>
      <c r="P32" s="43"/>
    </row>
    <row r="33" spans="1:16" x14ac:dyDescent="0.35">
      <c r="A33" s="57">
        <v>18</v>
      </c>
      <c r="B33" s="57" t="s">
        <v>387</v>
      </c>
      <c r="C33" s="43" t="s">
        <v>414</v>
      </c>
      <c r="D33" s="57" t="s">
        <v>21</v>
      </c>
      <c r="E33" s="59">
        <v>9830</v>
      </c>
      <c r="F33" s="58">
        <v>1.95</v>
      </c>
      <c r="G33" s="58">
        <v>19168.5</v>
      </c>
      <c r="H33" s="58">
        <v>1.91</v>
      </c>
      <c r="I33" s="58">
        <v>18775.3</v>
      </c>
      <c r="J33" s="58">
        <v>1.2</v>
      </c>
      <c r="K33" s="58">
        <v>11796</v>
      </c>
      <c r="L33" s="58">
        <v>6.6</v>
      </c>
      <c r="M33" s="58">
        <v>64878</v>
      </c>
      <c r="N33" s="58">
        <v>3</v>
      </c>
      <c r="O33" s="58">
        <v>29490</v>
      </c>
      <c r="P33" s="43"/>
    </row>
    <row r="34" spans="1:16" x14ac:dyDescent="0.35">
      <c r="A34" s="57">
        <v>19</v>
      </c>
      <c r="B34" s="57" t="s">
        <v>135</v>
      </c>
      <c r="C34" s="43" t="s">
        <v>415</v>
      </c>
      <c r="D34" s="57" t="s">
        <v>3</v>
      </c>
      <c r="E34" s="57">
        <v>1</v>
      </c>
      <c r="F34" s="58">
        <v>200000</v>
      </c>
      <c r="G34" s="58">
        <v>200000</v>
      </c>
      <c r="H34" s="58">
        <v>105000</v>
      </c>
      <c r="I34" s="58">
        <v>105000</v>
      </c>
      <c r="J34" s="58">
        <v>140000</v>
      </c>
      <c r="K34" s="58">
        <v>140000</v>
      </c>
      <c r="L34" s="58">
        <v>108443</v>
      </c>
      <c r="M34" s="58">
        <v>108443</v>
      </c>
      <c r="N34" s="58">
        <v>189320</v>
      </c>
      <c r="O34" s="58">
        <v>189320</v>
      </c>
      <c r="P34" s="43"/>
    </row>
    <row r="35" spans="1:16" x14ac:dyDescent="0.35">
      <c r="A35" s="57">
        <v>20</v>
      </c>
      <c r="B35" s="57" t="s">
        <v>136</v>
      </c>
      <c r="C35" s="43" t="s">
        <v>388</v>
      </c>
      <c r="D35" s="57" t="s">
        <v>16</v>
      </c>
      <c r="E35" s="57">
        <v>2</v>
      </c>
      <c r="F35" s="58">
        <v>13000</v>
      </c>
      <c r="G35" s="58">
        <v>26000</v>
      </c>
      <c r="H35" s="58">
        <v>13000</v>
      </c>
      <c r="I35" s="58">
        <v>26000</v>
      </c>
      <c r="J35" s="58">
        <v>20000</v>
      </c>
      <c r="K35" s="58">
        <v>40000</v>
      </c>
      <c r="L35" s="58">
        <v>31900</v>
      </c>
      <c r="M35" s="58">
        <v>63800</v>
      </c>
      <c r="N35" s="58">
        <v>16417</v>
      </c>
      <c r="O35" s="58">
        <v>32834</v>
      </c>
      <c r="P35" s="43"/>
    </row>
    <row r="36" spans="1:16" x14ac:dyDescent="0.35">
      <c r="A36" s="57">
        <v>21</v>
      </c>
      <c r="B36" s="57" t="s">
        <v>37</v>
      </c>
      <c r="C36" s="43" t="s">
        <v>389</v>
      </c>
      <c r="D36" s="57" t="s">
        <v>21</v>
      </c>
      <c r="E36" s="59">
        <v>10200</v>
      </c>
      <c r="F36" s="58">
        <v>9.5</v>
      </c>
      <c r="G36" s="58">
        <v>96900</v>
      </c>
      <c r="H36" s="58">
        <v>8</v>
      </c>
      <c r="I36" s="58">
        <v>81600</v>
      </c>
      <c r="J36" s="58">
        <v>10</v>
      </c>
      <c r="K36" s="58">
        <v>102000</v>
      </c>
      <c r="L36" s="58">
        <v>15.31</v>
      </c>
      <c r="M36" s="58">
        <v>156162</v>
      </c>
      <c r="N36" s="58">
        <v>8</v>
      </c>
      <c r="O36" s="58">
        <v>81600</v>
      </c>
      <c r="P36" s="43"/>
    </row>
    <row r="37" spans="1:16" x14ac:dyDescent="0.35">
      <c r="A37" s="57">
        <v>22</v>
      </c>
      <c r="B37" s="57" t="s">
        <v>38</v>
      </c>
      <c r="C37" s="43" t="s">
        <v>390</v>
      </c>
      <c r="D37" s="57" t="s">
        <v>21</v>
      </c>
      <c r="E37" s="59">
        <v>3800</v>
      </c>
      <c r="F37" s="58">
        <v>15.75</v>
      </c>
      <c r="G37" s="58">
        <v>59850</v>
      </c>
      <c r="H37" s="58">
        <v>15</v>
      </c>
      <c r="I37" s="58">
        <v>57000</v>
      </c>
      <c r="J37" s="58">
        <v>15</v>
      </c>
      <c r="K37" s="58">
        <v>57000</v>
      </c>
      <c r="L37" s="58">
        <v>24.2</v>
      </c>
      <c r="M37" s="58">
        <v>91960</v>
      </c>
      <c r="N37" s="58">
        <v>13</v>
      </c>
      <c r="O37" s="58">
        <v>49400</v>
      </c>
      <c r="P37" s="43"/>
    </row>
    <row r="38" spans="1:16" x14ac:dyDescent="0.35">
      <c r="A38" s="57">
        <v>23</v>
      </c>
      <c r="B38" s="57" t="s">
        <v>391</v>
      </c>
      <c r="C38" s="43" t="s">
        <v>392</v>
      </c>
      <c r="D38" s="57" t="s">
        <v>21</v>
      </c>
      <c r="E38" s="57">
        <v>810</v>
      </c>
      <c r="F38" s="58">
        <v>55</v>
      </c>
      <c r="G38" s="58">
        <v>44550</v>
      </c>
      <c r="H38" s="58">
        <v>60</v>
      </c>
      <c r="I38" s="58">
        <v>48600</v>
      </c>
      <c r="J38" s="58">
        <v>70</v>
      </c>
      <c r="K38" s="58">
        <v>56700</v>
      </c>
      <c r="L38" s="58">
        <v>88</v>
      </c>
      <c r="M38" s="58">
        <v>71280</v>
      </c>
      <c r="N38" s="58">
        <v>80</v>
      </c>
      <c r="O38" s="58">
        <v>64800</v>
      </c>
      <c r="P38" s="43"/>
    </row>
    <row r="39" spans="1:16" x14ac:dyDescent="0.35">
      <c r="A39" s="57">
        <v>24</v>
      </c>
      <c r="B39" s="57" t="s">
        <v>40</v>
      </c>
      <c r="C39" s="43" t="s">
        <v>393</v>
      </c>
      <c r="D39" s="57" t="s">
        <v>16</v>
      </c>
      <c r="E39" s="57">
        <v>2</v>
      </c>
      <c r="F39" s="58">
        <v>13000</v>
      </c>
      <c r="G39" s="58">
        <v>26000</v>
      </c>
      <c r="H39" s="58">
        <v>10000</v>
      </c>
      <c r="I39" s="58">
        <v>20000</v>
      </c>
      <c r="J39" s="58">
        <v>15000</v>
      </c>
      <c r="K39" s="58">
        <v>30000</v>
      </c>
      <c r="L39" s="58">
        <v>22825</v>
      </c>
      <c r="M39" s="58">
        <v>45650</v>
      </c>
      <c r="N39" s="58">
        <v>26380</v>
      </c>
      <c r="O39" s="58">
        <v>52760</v>
      </c>
      <c r="P39" s="43"/>
    </row>
    <row r="40" spans="1:16" x14ac:dyDescent="0.35">
      <c r="A40" s="57">
        <v>25</v>
      </c>
      <c r="B40" s="57" t="s">
        <v>41</v>
      </c>
      <c r="C40" s="43" t="s">
        <v>394</v>
      </c>
      <c r="D40" s="57" t="s">
        <v>16</v>
      </c>
      <c r="E40" s="57">
        <v>10</v>
      </c>
      <c r="F40" s="58">
        <v>1100</v>
      </c>
      <c r="G40" s="58">
        <v>11000</v>
      </c>
      <c r="H40" s="58">
        <v>1100</v>
      </c>
      <c r="I40" s="58">
        <v>11000</v>
      </c>
      <c r="J40" s="58">
        <v>1100</v>
      </c>
      <c r="K40" s="58">
        <v>11000</v>
      </c>
      <c r="L40" s="58">
        <v>1970</v>
      </c>
      <c r="M40" s="58">
        <v>19700</v>
      </c>
      <c r="N40" s="58">
        <v>2085</v>
      </c>
      <c r="O40" s="58">
        <v>20850</v>
      </c>
      <c r="P40" s="43"/>
    </row>
    <row r="41" spans="1:16" x14ac:dyDescent="0.35">
      <c r="A41" s="57">
        <v>26</v>
      </c>
      <c r="B41" s="57" t="s">
        <v>42</v>
      </c>
      <c r="C41" s="43" t="s">
        <v>416</v>
      </c>
      <c r="D41" s="57" t="s">
        <v>16</v>
      </c>
      <c r="E41" s="57">
        <v>50</v>
      </c>
      <c r="F41" s="58">
        <v>1300</v>
      </c>
      <c r="G41" s="58">
        <v>65000</v>
      </c>
      <c r="H41" s="58">
        <v>1200</v>
      </c>
      <c r="I41" s="58">
        <v>60000</v>
      </c>
      <c r="J41" s="58">
        <v>1900</v>
      </c>
      <c r="K41" s="58">
        <v>95000</v>
      </c>
      <c r="L41" s="58">
        <v>2002</v>
      </c>
      <c r="M41" s="60">
        <v>100100</v>
      </c>
      <c r="N41" s="58">
        <v>2730</v>
      </c>
      <c r="O41" s="58">
        <v>136500</v>
      </c>
      <c r="P41" s="43"/>
    </row>
    <row r="42" spans="1:16" x14ac:dyDescent="0.35">
      <c r="A42" s="57">
        <v>27</v>
      </c>
      <c r="B42" s="57" t="s">
        <v>44</v>
      </c>
      <c r="C42" s="43" t="s">
        <v>395</v>
      </c>
      <c r="D42" s="57" t="s">
        <v>16</v>
      </c>
      <c r="E42" s="57">
        <v>14</v>
      </c>
      <c r="F42" s="58">
        <v>1350</v>
      </c>
      <c r="G42" s="58">
        <v>18900</v>
      </c>
      <c r="H42" s="58">
        <v>1250</v>
      </c>
      <c r="I42" s="58">
        <v>17500</v>
      </c>
      <c r="J42" s="58">
        <v>1950</v>
      </c>
      <c r="K42" s="58">
        <v>27300</v>
      </c>
      <c r="L42" s="58">
        <v>192.3</v>
      </c>
      <c r="M42" s="60">
        <v>2692.2</v>
      </c>
      <c r="N42" s="58">
        <v>2780</v>
      </c>
      <c r="O42" s="58">
        <v>38920</v>
      </c>
      <c r="P42" s="43"/>
    </row>
    <row r="43" spans="1:16" x14ac:dyDescent="0.35">
      <c r="A43" s="57">
        <v>28</v>
      </c>
      <c r="B43" s="57" t="s">
        <v>45</v>
      </c>
      <c r="C43" s="43" t="s">
        <v>417</v>
      </c>
      <c r="D43" s="57" t="s">
        <v>16</v>
      </c>
      <c r="E43" s="57">
        <v>2</v>
      </c>
      <c r="F43" s="58">
        <v>44000</v>
      </c>
      <c r="G43" s="58">
        <v>88000</v>
      </c>
      <c r="H43" s="58">
        <v>21500</v>
      </c>
      <c r="I43" s="58">
        <v>43000</v>
      </c>
      <c r="J43" s="58">
        <v>30000</v>
      </c>
      <c r="K43" s="58">
        <v>60000</v>
      </c>
      <c r="L43" s="58">
        <v>34515</v>
      </c>
      <c r="M43" s="60">
        <v>69030</v>
      </c>
      <c r="N43" s="58">
        <v>20500</v>
      </c>
      <c r="O43" s="58">
        <v>41000</v>
      </c>
      <c r="P43" s="43"/>
    </row>
    <row r="44" spans="1:16" x14ac:dyDescent="0.35">
      <c r="A44" s="57">
        <v>29</v>
      </c>
      <c r="B44" s="57" t="s">
        <v>146</v>
      </c>
      <c r="C44" s="43" t="s">
        <v>418</v>
      </c>
      <c r="D44" s="57" t="s">
        <v>16</v>
      </c>
      <c r="E44" s="57">
        <v>3</v>
      </c>
      <c r="F44" s="58">
        <v>3000</v>
      </c>
      <c r="G44" s="58">
        <v>9000</v>
      </c>
      <c r="H44" s="58">
        <v>5500</v>
      </c>
      <c r="I44" s="58">
        <v>16500</v>
      </c>
      <c r="J44" s="58">
        <v>7000</v>
      </c>
      <c r="K44" s="58">
        <v>21000</v>
      </c>
      <c r="L44" s="58">
        <v>8101.5</v>
      </c>
      <c r="M44" s="61">
        <v>24304.5</v>
      </c>
      <c r="N44" s="58">
        <v>8380</v>
      </c>
      <c r="O44" s="58">
        <v>25140</v>
      </c>
      <c r="P44" s="43"/>
    </row>
    <row r="45" spans="1:16" x14ac:dyDescent="0.35">
      <c r="A45" s="57">
        <v>30</v>
      </c>
      <c r="B45" s="57" t="s">
        <v>396</v>
      </c>
      <c r="C45" s="43" t="s">
        <v>419</v>
      </c>
      <c r="D45" s="57" t="s">
        <v>16</v>
      </c>
      <c r="E45" s="57">
        <v>2</v>
      </c>
      <c r="F45" s="58">
        <v>1750</v>
      </c>
      <c r="G45" s="58">
        <v>3500</v>
      </c>
      <c r="H45" s="58">
        <v>5000</v>
      </c>
      <c r="I45" s="58">
        <v>10000</v>
      </c>
      <c r="J45" s="58">
        <v>4000</v>
      </c>
      <c r="K45" s="58">
        <v>8000</v>
      </c>
      <c r="L45" s="58">
        <v>5525</v>
      </c>
      <c r="M45" s="61">
        <v>11050</v>
      </c>
      <c r="N45" s="58">
        <v>7360</v>
      </c>
      <c r="O45" s="58">
        <v>14720</v>
      </c>
      <c r="P45" s="43"/>
    </row>
    <row r="46" spans="1:16" x14ac:dyDescent="0.35">
      <c r="A46" s="57">
        <v>31</v>
      </c>
      <c r="B46" s="57" t="s">
        <v>319</v>
      </c>
      <c r="C46" s="43" t="s">
        <v>397</v>
      </c>
      <c r="D46" s="57" t="s">
        <v>16</v>
      </c>
      <c r="E46" s="57">
        <v>2</v>
      </c>
      <c r="F46" s="58">
        <v>28000</v>
      </c>
      <c r="G46" s="58">
        <v>56000</v>
      </c>
      <c r="H46" s="58">
        <v>15000</v>
      </c>
      <c r="I46" s="58">
        <v>30000</v>
      </c>
      <c r="J46" s="58">
        <v>25000</v>
      </c>
      <c r="K46" s="58">
        <v>50000</v>
      </c>
      <c r="L46" s="58">
        <v>23774</v>
      </c>
      <c r="M46" s="60">
        <v>47548</v>
      </c>
      <c r="N46" s="58">
        <v>22120</v>
      </c>
      <c r="O46" s="58">
        <v>44240</v>
      </c>
      <c r="P46" s="43"/>
    </row>
    <row r="47" spans="1:16" x14ac:dyDescent="0.35">
      <c r="A47" s="57">
        <v>32</v>
      </c>
      <c r="B47" s="57" t="s">
        <v>398</v>
      </c>
      <c r="C47" s="43" t="s">
        <v>399</v>
      </c>
      <c r="D47" s="57" t="s">
        <v>16</v>
      </c>
      <c r="E47" s="57">
        <v>1</v>
      </c>
      <c r="F47" s="58">
        <v>8000</v>
      </c>
      <c r="G47" s="58">
        <v>8000</v>
      </c>
      <c r="H47" s="58">
        <v>12500</v>
      </c>
      <c r="I47" s="58">
        <v>12500</v>
      </c>
      <c r="J47" s="58">
        <v>15000</v>
      </c>
      <c r="K47" s="58">
        <v>15000</v>
      </c>
      <c r="L47" s="58">
        <v>18358</v>
      </c>
      <c r="M47" s="61">
        <v>18358</v>
      </c>
      <c r="N47" s="58">
        <v>16150</v>
      </c>
      <c r="O47" s="58">
        <v>16150</v>
      </c>
      <c r="P47" s="43"/>
    </row>
    <row r="48" spans="1:16" x14ac:dyDescent="0.35">
      <c r="A48" s="57">
        <v>33</v>
      </c>
      <c r="B48" s="57" t="s">
        <v>400</v>
      </c>
      <c r="C48" s="43" t="s">
        <v>401</v>
      </c>
      <c r="D48" s="57" t="s">
        <v>16</v>
      </c>
      <c r="E48" s="57">
        <v>1</v>
      </c>
      <c r="F48" s="58">
        <v>25000</v>
      </c>
      <c r="G48" s="58">
        <v>25000</v>
      </c>
      <c r="H48" s="58">
        <v>10000</v>
      </c>
      <c r="I48" s="58">
        <v>10000</v>
      </c>
      <c r="J48" s="58">
        <v>10000</v>
      </c>
      <c r="K48" s="58">
        <v>10000</v>
      </c>
      <c r="L48" s="58">
        <v>12383</v>
      </c>
      <c r="M48" s="61">
        <v>12383</v>
      </c>
      <c r="N48" s="58">
        <v>10580</v>
      </c>
      <c r="O48" s="58">
        <v>10580</v>
      </c>
      <c r="P48" s="43"/>
    </row>
    <row r="49" spans="1:16" x14ac:dyDescent="0.35">
      <c r="A49" s="57">
        <v>34</v>
      </c>
      <c r="B49" s="57" t="s">
        <v>60</v>
      </c>
      <c r="C49" s="43" t="s">
        <v>117</v>
      </c>
      <c r="D49" s="57" t="s">
        <v>8</v>
      </c>
      <c r="E49" s="59">
        <v>3825</v>
      </c>
      <c r="F49" s="58">
        <v>6.5</v>
      </c>
      <c r="G49" s="58">
        <v>24862.5</v>
      </c>
      <c r="H49" s="58">
        <v>2</v>
      </c>
      <c r="I49" s="58">
        <v>7650</v>
      </c>
      <c r="J49" s="58">
        <v>8</v>
      </c>
      <c r="K49" s="58">
        <v>30600</v>
      </c>
      <c r="L49" s="58">
        <v>1.02</v>
      </c>
      <c r="M49" s="60">
        <v>3901.5</v>
      </c>
      <c r="N49" s="58">
        <v>10</v>
      </c>
      <c r="O49" s="58">
        <v>38250</v>
      </c>
      <c r="P49" s="43"/>
    </row>
    <row r="50" spans="1:16" ht="15" thickBot="1" x14ac:dyDescent="0.4">
      <c r="A50" s="57">
        <v>35</v>
      </c>
      <c r="B50" s="57" t="s">
        <v>301</v>
      </c>
      <c r="C50" s="43" t="s">
        <v>402</v>
      </c>
      <c r="D50" s="57" t="s">
        <v>11</v>
      </c>
      <c r="E50" s="57">
        <v>250</v>
      </c>
      <c r="F50" s="58">
        <v>12</v>
      </c>
      <c r="G50" s="58">
        <v>3000</v>
      </c>
      <c r="H50" s="58">
        <v>20</v>
      </c>
      <c r="I50" s="58">
        <v>5000</v>
      </c>
      <c r="J50" s="58">
        <v>20</v>
      </c>
      <c r="K50" s="58">
        <v>5000</v>
      </c>
      <c r="L50" s="58">
        <v>10</v>
      </c>
      <c r="M50" s="58">
        <v>2500</v>
      </c>
      <c r="N50" s="58">
        <v>37</v>
      </c>
      <c r="O50" s="58">
        <v>9250</v>
      </c>
      <c r="P50" s="43"/>
    </row>
    <row r="51" spans="1:16" ht="16" thickBot="1" x14ac:dyDescent="0.4">
      <c r="A51" s="57"/>
      <c r="B51" s="57"/>
      <c r="C51" s="43"/>
      <c r="D51" s="57"/>
      <c r="E51" s="55" t="s">
        <v>164</v>
      </c>
      <c r="F51" s="62"/>
      <c r="G51" s="63">
        <f>SUM(Table15[EXTENDED TOTAL])</f>
        <v>1003621</v>
      </c>
      <c r="H51" s="63"/>
      <c r="I51" s="63">
        <f>SUM(Table15[EXTENDED TOTAL3])</f>
        <v>691479.3</v>
      </c>
      <c r="J51" s="63"/>
      <c r="K51" s="63">
        <f>SUM(Table15[[#All],[EXTENDED TOTAL5]])</f>
        <v>1025725</v>
      </c>
      <c r="L51" s="63"/>
      <c r="M51" s="63">
        <f>SUM(Table15[EXTENDED TOTAL7])</f>
        <v>1209723.3999999999</v>
      </c>
      <c r="N51" s="63"/>
      <c r="O51" s="64">
        <f>SUM(Table15[EXTENDED TOTAL8])</f>
        <v>1691919</v>
      </c>
      <c r="P51" s="43"/>
    </row>
    <row r="52" spans="1:16" ht="16" thickBot="1" x14ac:dyDescent="0.4">
      <c r="A52" s="57"/>
      <c r="B52" s="57"/>
      <c r="C52" s="43"/>
      <c r="D52" s="57"/>
      <c r="E52" s="65"/>
      <c r="F52" s="66"/>
      <c r="G52" s="66"/>
      <c r="H52" s="66"/>
      <c r="I52" s="66"/>
      <c r="J52" s="66"/>
      <c r="K52" s="66"/>
      <c r="L52" s="66"/>
      <c r="M52" s="66"/>
      <c r="N52" s="66"/>
      <c r="O52" s="66"/>
      <c r="P52" s="43"/>
    </row>
    <row r="53" spans="1:16" ht="16" thickBot="1" x14ac:dyDescent="0.4">
      <c r="A53" s="237" t="s">
        <v>438</v>
      </c>
      <c r="B53" s="239"/>
      <c r="C53" s="239"/>
      <c r="D53" s="239"/>
      <c r="E53" s="238"/>
      <c r="F53" s="237" t="s">
        <v>75</v>
      </c>
      <c r="G53" s="238"/>
      <c r="H53" s="237" t="s">
        <v>407</v>
      </c>
      <c r="I53" s="238"/>
      <c r="J53" s="237" t="s">
        <v>404</v>
      </c>
      <c r="K53" s="238"/>
      <c r="L53" s="237" t="s">
        <v>405</v>
      </c>
      <c r="M53" s="238"/>
      <c r="N53" s="237" t="s">
        <v>406</v>
      </c>
      <c r="O53" s="238"/>
      <c r="P53" s="67"/>
    </row>
    <row r="54" spans="1:16" x14ac:dyDescent="0.35">
      <c r="A54" s="57" t="s">
        <v>62</v>
      </c>
      <c r="B54" s="57" t="s">
        <v>98</v>
      </c>
      <c r="C54" s="57" t="s">
        <v>0</v>
      </c>
      <c r="D54" s="57" t="s">
        <v>1</v>
      </c>
      <c r="E54" s="57" t="s">
        <v>64</v>
      </c>
      <c r="F54" s="57" t="s">
        <v>262</v>
      </c>
      <c r="G54" s="57" t="s">
        <v>94</v>
      </c>
      <c r="H54" s="57" t="s">
        <v>355</v>
      </c>
      <c r="I54" s="57" t="s">
        <v>357</v>
      </c>
      <c r="J54" s="57" t="s">
        <v>420</v>
      </c>
      <c r="K54" s="57" t="s">
        <v>421</v>
      </c>
      <c r="L54" s="57" t="s">
        <v>422</v>
      </c>
      <c r="M54" s="57" t="s">
        <v>423</v>
      </c>
      <c r="N54" s="57" t="s">
        <v>403</v>
      </c>
      <c r="O54" s="57" t="s">
        <v>424</v>
      </c>
      <c r="P54" s="67"/>
    </row>
    <row r="55" spans="1:16" x14ac:dyDescent="0.35">
      <c r="A55" s="68">
        <v>1</v>
      </c>
      <c r="B55" s="68" t="s">
        <v>99</v>
      </c>
      <c r="C55" s="67" t="s">
        <v>364</v>
      </c>
      <c r="D55" s="68" t="s">
        <v>3</v>
      </c>
      <c r="E55" s="68">
        <v>1</v>
      </c>
      <c r="F55" s="69">
        <v>10000</v>
      </c>
      <c r="G55" s="69">
        <v>10000</v>
      </c>
      <c r="H55" s="69">
        <v>2000</v>
      </c>
      <c r="I55" s="69">
        <v>2000</v>
      </c>
      <c r="J55" s="69">
        <v>5000</v>
      </c>
      <c r="K55" s="69">
        <v>5000</v>
      </c>
      <c r="L55" s="69">
        <v>17250</v>
      </c>
      <c r="M55" s="69">
        <v>17250</v>
      </c>
      <c r="N55" s="69">
        <v>22780</v>
      </c>
      <c r="O55" s="69">
        <v>22780</v>
      </c>
      <c r="P55" s="67" t="s">
        <v>79</v>
      </c>
    </row>
    <row r="56" spans="1:16" x14ac:dyDescent="0.35">
      <c r="A56" s="68">
        <v>2</v>
      </c>
      <c r="B56" s="68" t="s">
        <v>365</v>
      </c>
      <c r="C56" s="67" t="s">
        <v>425</v>
      </c>
      <c r="D56" s="68" t="s">
        <v>3</v>
      </c>
      <c r="E56" s="68">
        <v>1</v>
      </c>
      <c r="F56" s="69">
        <v>8000</v>
      </c>
      <c r="G56" s="69">
        <v>8000</v>
      </c>
      <c r="H56" s="69">
        <v>2000</v>
      </c>
      <c r="I56" s="69">
        <v>2000</v>
      </c>
      <c r="J56" s="69">
        <v>10000</v>
      </c>
      <c r="K56" s="69">
        <v>10000</v>
      </c>
      <c r="L56" s="69">
        <v>2750</v>
      </c>
      <c r="M56" s="69">
        <v>2750</v>
      </c>
      <c r="N56" s="69">
        <v>33510</v>
      </c>
      <c r="O56" s="69">
        <v>33510</v>
      </c>
      <c r="P56" s="67" t="s">
        <v>79</v>
      </c>
    </row>
    <row r="57" spans="1:16" x14ac:dyDescent="0.35">
      <c r="A57" s="68">
        <v>3</v>
      </c>
      <c r="B57" s="68" t="s">
        <v>20</v>
      </c>
      <c r="C57" s="67" t="s">
        <v>366</v>
      </c>
      <c r="D57" s="68" t="s">
        <v>3</v>
      </c>
      <c r="E57" s="68">
        <v>1</v>
      </c>
      <c r="F57" s="69">
        <v>3000</v>
      </c>
      <c r="G57" s="69">
        <v>3000</v>
      </c>
      <c r="H57" s="69">
        <v>2000</v>
      </c>
      <c r="I57" s="69">
        <v>2000</v>
      </c>
      <c r="J57" s="69">
        <v>5000</v>
      </c>
      <c r="K57" s="69">
        <v>5000</v>
      </c>
      <c r="L57" s="69">
        <v>1925</v>
      </c>
      <c r="M57" s="69">
        <v>1925</v>
      </c>
      <c r="N57" s="69">
        <v>66580</v>
      </c>
      <c r="O57" s="69">
        <v>66580</v>
      </c>
      <c r="P57" s="67" t="s">
        <v>79</v>
      </c>
    </row>
    <row r="58" spans="1:16" x14ac:dyDescent="0.35">
      <c r="A58" s="68">
        <v>4</v>
      </c>
      <c r="B58" s="68" t="s">
        <v>367</v>
      </c>
      <c r="C58" s="67" t="s">
        <v>368</v>
      </c>
      <c r="D58" s="68" t="s">
        <v>3</v>
      </c>
      <c r="E58" s="68">
        <v>1</v>
      </c>
      <c r="F58" s="69">
        <v>38600</v>
      </c>
      <c r="G58" s="69">
        <v>38600</v>
      </c>
      <c r="H58" s="69">
        <v>10000</v>
      </c>
      <c r="I58" s="69">
        <v>10000</v>
      </c>
      <c r="J58" s="69">
        <v>41120</v>
      </c>
      <c r="K58" s="69">
        <v>41120</v>
      </c>
      <c r="L58" s="69">
        <v>3410</v>
      </c>
      <c r="M58" s="69">
        <v>3410</v>
      </c>
      <c r="N58" s="69">
        <v>248760</v>
      </c>
      <c r="O58" s="69">
        <v>248760</v>
      </c>
      <c r="P58" s="67" t="s">
        <v>79</v>
      </c>
    </row>
    <row r="59" spans="1:16" x14ac:dyDescent="0.35">
      <c r="A59" s="68">
        <v>5</v>
      </c>
      <c r="B59" s="68" t="s">
        <v>369</v>
      </c>
      <c r="C59" s="67" t="s">
        <v>370</v>
      </c>
      <c r="D59" s="68" t="s">
        <v>3</v>
      </c>
      <c r="E59" s="68">
        <v>1</v>
      </c>
      <c r="F59" s="69">
        <v>10200</v>
      </c>
      <c r="G59" s="69">
        <v>10200</v>
      </c>
      <c r="H59" s="69">
        <v>10000</v>
      </c>
      <c r="I59" s="69">
        <v>10000</v>
      </c>
      <c r="J59" s="69">
        <v>15000</v>
      </c>
      <c r="K59" s="69">
        <v>15000</v>
      </c>
      <c r="L59" s="69">
        <v>12100</v>
      </c>
      <c r="M59" s="69">
        <v>12100</v>
      </c>
      <c r="N59" s="69">
        <v>9880</v>
      </c>
      <c r="O59" s="69">
        <v>9880</v>
      </c>
      <c r="P59" s="67" t="s">
        <v>79</v>
      </c>
    </row>
    <row r="60" spans="1:16" x14ac:dyDescent="0.35">
      <c r="A60" s="68">
        <v>6</v>
      </c>
      <c r="B60" s="68" t="s">
        <v>371</v>
      </c>
      <c r="C60" s="67" t="s">
        <v>372</v>
      </c>
      <c r="D60" s="68" t="s">
        <v>3</v>
      </c>
      <c r="E60" s="68">
        <v>1</v>
      </c>
      <c r="F60" s="69">
        <v>8000</v>
      </c>
      <c r="G60" s="69">
        <v>8000</v>
      </c>
      <c r="H60" s="69">
        <v>7500</v>
      </c>
      <c r="I60" s="69">
        <v>7500</v>
      </c>
      <c r="J60" s="69">
        <v>15000</v>
      </c>
      <c r="K60" s="69">
        <v>15000</v>
      </c>
      <c r="L60" s="69">
        <v>1760</v>
      </c>
      <c r="M60" s="69">
        <v>1760</v>
      </c>
      <c r="N60" s="69">
        <v>51080</v>
      </c>
      <c r="O60" s="69">
        <v>51080</v>
      </c>
      <c r="P60" s="67" t="s">
        <v>79</v>
      </c>
    </row>
    <row r="61" spans="1:16" x14ac:dyDescent="0.35">
      <c r="A61" s="68">
        <v>7</v>
      </c>
      <c r="B61" s="68" t="s">
        <v>373</v>
      </c>
      <c r="C61" s="67" t="s">
        <v>374</v>
      </c>
      <c r="D61" s="68" t="s">
        <v>3</v>
      </c>
      <c r="E61" s="68">
        <v>1</v>
      </c>
      <c r="F61" s="69">
        <v>6780</v>
      </c>
      <c r="G61" s="69">
        <v>6780</v>
      </c>
      <c r="H61" s="69">
        <v>2000</v>
      </c>
      <c r="I61" s="69">
        <v>2000</v>
      </c>
      <c r="J61" s="69">
        <v>1000</v>
      </c>
      <c r="K61" s="69">
        <v>1000</v>
      </c>
      <c r="L61" s="69">
        <v>1400</v>
      </c>
      <c r="M61" s="69">
        <v>1400</v>
      </c>
      <c r="N61" s="69">
        <v>2700</v>
      </c>
      <c r="O61" s="69">
        <v>2700</v>
      </c>
      <c r="P61" s="67" t="s">
        <v>79</v>
      </c>
    </row>
    <row r="62" spans="1:16" x14ac:dyDescent="0.35">
      <c r="A62" s="68">
        <v>8</v>
      </c>
      <c r="B62" s="68" t="s">
        <v>375</v>
      </c>
      <c r="C62" s="67" t="s">
        <v>426</v>
      </c>
      <c r="D62" s="68" t="s">
        <v>3</v>
      </c>
      <c r="E62" s="68">
        <v>1</v>
      </c>
      <c r="F62" s="69">
        <v>10000</v>
      </c>
      <c r="G62" s="69">
        <v>10000</v>
      </c>
      <c r="H62" s="69">
        <v>2500</v>
      </c>
      <c r="I62" s="69">
        <v>2500</v>
      </c>
      <c r="J62" s="69">
        <v>15000</v>
      </c>
      <c r="K62" s="69">
        <v>15000</v>
      </c>
      <c r="L62" s="69">
        <v>2750</v>
      </c>
      <c r="M62" s="69">
        <v>2750</v>
      </c>
      <c r="N62" s="69">
        <v>24240</v>
      </c>
      <c r="O62" s="69">
        <v>24240</v>
      </c>
      <c r="P62" s="67" t="s">
        <v>79</v>
      </c>
    </row>
    <row r="63" spans="1:16" x14ac:dyDescent="0.35">
      <c r="A63" s="68">
        <v>9</v>
      </c>
      <c r="B63" s="68" t="s">
        <v>427</v>
      </c>
      <c r="C63" s="67" t="s">
        <v>428</v>
      </c>
      <c r="D63" s="68" t="s">
        <v>16</v>
      </c>
      <c r="E63" s="68">
        <v>15</v>
      </c>
      <c r="F63" s="69">
        <v>500</v>
      </c>
      <c r="G63" s="69">
        <v>7500</v>
      </c>
      <c r="H63" s="69">
        <v>75</v>
      </c>
      <c r="I63" s="69">
        <v>1125</v>
      </c>
      <c r="J63" s="69">
        <v>250</v>
      </c>
      <c r="K63" s="69">
        <v>3750</v>
      </c>
      <c r="L63" s="69">
        <v>397</v>
      </c>
      <c r="M63" s="70">
        <v>5955</v>
      </c>
      <c r="N63" s="69">
        <v>120</v>
      </c>
      <c r="O63" s="69">
        <v>1800</v>
      </c>
      <c r="P63" s="67" t="s">
        <v>79</v>
      </c>
    </row>
    <row r="64" spans="1:16" x14ac:dyDescent="0.35">
      <c r="A64" s="68">
        <v>10</v>
      </c>
      <c r="B64" s="68" t="s">
        <v>279</v>
      </c>
      <c r="C64" s="67" t="s">
        <v>429</v>
      </c>
      <c r="D64" s="68" t="s">
        <v>16</v>
      </c>
      <c r="E64" s="68">
        <v>95</v>
      </c>
      <c r="F64" s="69">
        <v>150</v>
      </c>
      <c r="G64" s="69">
        <v>14250</v>
      </c>
      <c r="H64" s="69">
        <v>50</v>
      </c>
      <c r="I64" s="69">
        <v>4750</v>
      </c>
      <c r="J64" s="69">
        <v>200</v>
      </c>
      <c r="K64" s="69">
        <v>19000</v>
      </c>
      <c r="L64" s="69">
        <v>332.2</v>
      </c>
      <c r="M64" s="70">
        <v>31559</v>
      </c>
      <c r="N64" s="69">
        <v>56</v>
      </c>
      <c r="O64" s="69">
        <v>5320</v>
      </c>
      <c r="P64" s="67" t="s">
        <v>79</v>
      </c>
    </row>
    <row r="65" spans="1:16" x14ac:dyDescent="0.35">
      <c r="A65" s="68">
        <v>11</v>
      </c>
      <c r="B65" s="68" t="s">
        <v>382</v>
      </c>
      <c r="C65" s="67" t="s">
        <v>383</v>
      </c>
      <c r="D65" s="68" t="s">
        <v>3</v>
      </c>
      <c r="E65" s="68">
        <v>1</v>
      </c>
      <c r="F65" s="69">
        <v>6000</v>
      </c>
      <c r="G65" s="69">
        <v>6000</v>
      </c>
      <c r="H65" s="69">
        <v>500</v>
      </c>
      <c r="I65" s="69">
        <v>500</v>
      </c>
      <c r="J65" s="69">
        <v>1000</v>
      </c>
      <c r="K65" s="69">
        <v>1000</v>
      </c>
      <c r="L65" s="69">
        <v>1769</v>
      </c>
      <c r="M65" s="70">
        <v>1769</v>
      </c>
      <c r="N65" s="69">
        <v>2740</v>
      </c>
      <c r="O65" s="69">
        <v>2740</v>
      </c>
      <c r="P65" s="67" t="s">
        <v>79</v>
      </c>
    </row>
    <row r="66" spans="1:16" x14ac:dyDescent="0.35">
      <c r="A66" s="68">
        <v>12</v>
      </c>
      <c r="B66" s="68" t="s">
        <v>385</v>
      </c>
      <c r="C66" s="67" t="s">
        <v>386</v>
      </c>
      <c r="D66" s="68" t="s">
        <v>21</v>
      </c>
      <c r="E66" s="71">
        <v>7500</v>
      </c>
      <c r="F66" s="69">
        <v>0.75</v>
      </c>
      <c r="G66" s="69">
        <v>5625</v>
      </c>
      <c r="H66" s="69">
        <v>0.75</v>
      </c>
      <c r="I66" s="69">
        <v>5625</v>
      </c>
      <c r="J66" s="69">
        <v>0.5</v>
      </c>
      <c r="K66" s="69">
        <v>3750</v>
      </c>
      <c r="L66" s="69">
        <v>1.76</v>
      </c>
      <c r="M66" s="70">
        <v>13200</v>
      </c>
      <c r="N66" s="69">
        <v>0.6</v>
      </c>
      <c r="O66" s="69">
        <v>4500</v>
      </c>
      <c r="P66" s="67" t="s">
        <v>79</v>
      </c>
    </row>
    <row r="67" spans="1:16" x14ac:dyDescent="0.35">
      <c r="A67" s="68">
        <v>13</v>
      </c>
      <c r="B67" s="68" t="s">
        <v>35</v>
      </c>
      <c r="C67" s="67" t="s">
        <v>430</v>
      </c>
      <c r="D67" s="68" t="s">
        <v>21</v>
      </c>
      <c r="E67" s="71">
        <v>15200</v>
      </c>
      <c r="F67" s="69">
        <v>1.75</v>
      </c>
      <c r="G67" s="69">
        <v>26600</v>
      </c>
      <c r="H67" s="69">
        <v>1.45</v>
      </c>
      <c r="I67" s="69">
        <v>22040</v>
      </c>
      <c r="J67" s="69">
        <v>1.45</v>
      </c>
      <c r="K67" s="69">
        <v>22040</v>
      </c>
      <c r="L67" s="69">
        <v>6.87</v>
      </c>
      <c r="M67" s="70">
        <v>104424</v>
      </c>
      <c r="N67" s="69">
        <v>2.4</v>
      </c>
      <c r="O67" s="69">
        <v>36480</v>
      </c>
      <c r="P67" s="67" t="s">
        <v>79</v>
      </c>
    </row>
    <row r="68" spans="1:16" x14ac:dyDescent="0.35">
      <c r="A68" s="68">
        <v>14</v>
      </c>
      <c r="B68" s="68" t="s">
        <v>387</v>
      </c>
      <c r="C68" s="67" t="s">
        <v>431</v>
      </c>
      <c r="D68" s="68" t="s">
        <v>21</v>
      </c>
      <c r="E68" s="71">
        <v>9825</v>
      </c>
      <c r="F68" s="69">
        <v>1.95</v>
      </c>
      <c r="G68" s="69">
        <v>19158.75</v>
      </c>
      <c r="H68" s="69">
        <v>1.91</v>
      </c>
      <c r="I68" s="69">
        <v>18765.75</v>
      </c>
      <c r="J68" s="69">
        <v>1.2</v>
      </c>
      <c r="K68" s="69">
        <v>11790</v>
      </c>
      <c r="L68" s="69">
        <v>7.48</v>
      </c>
      <c r="M68" s="70">
        <v>73491</v>
      </c>
      <c r="N68" s="69">
        <v>2.9</v>
      </c>
      <c r="O68" s="69">
        <v>28492.5</v>
      </c>
      <c r="P68" s="67" t="s">
        <v>79</v>
      </c>
    </row>
    <row r="69" spans="1:16" x14ac:dyDescent="0.35">
      <c r="A69" s="68">
        <v>15</v>
      </c>
      <c r="B69" s="68" t="s">
        <v>136</v>
      </c>
      <c r="C69" s="67" t="s">
        <v>388</v>
      </c>
      <c r="D69" s="68" t="s">
        <v>16</v>
      </c>
      <c r="E69" s="68">
        <v>1</v>
      </c>
      <c r="F69" s="69">
        <v>13000</v>
      </c>
      <c r="G69" s="69">
        <v>13000</v>
      </c>
      <c r="H69" s="69">
        <v>15000</v>
      </c>
      <c r="I69" s="69">
        <v>15000</v>
      </c>
      <c r="J69" s="69">
        <v>20000</v>
      </c>
      <c r="K69" s="69">
        <v>20000</v>
      </c>
      <c r="L69" s="69">
        <v>32915</v>
      </c>
      <c r="M69" s="70">
        <v>32915</v>
      </c>
      <c r="N69" s="69">
        <v>17710</v>
      </c>
      <c r="O69" s="69">
        <v>17710</v>
      </c>
      <c r="P69" s="67" t="s">
        <v>79</v>
      </c>
    </row>
    <row r="70" spans="1:16" x14ac:dyDescent="0.35">
      <c r="A70" s="68">
        <v>16</v>
      </c>
      <c r="B70" s="68" t="s">
        <v>37</v>
      </c>
      <c r="C70" s="67" t="s">
        <v>389</v>
      </c>
      <c r="D70" s="68" t="s">
        <v>21</v>
      </c>
      <c r="E70" s="71">
        <v>11521</v>
      </c>
      <c r="F70" s="69">
        <v>9.5</v>
      </c>
      <c r="G70" s="69">
        <v>109449.5</v>
      </c>
      <c r="H70" s="69">
        <v>8</v>
      </c>
      <c r="I70" s="69">
        <v>92168</v>
      </c>
      <c r="J70" s="69">
        <v>10</v>
      </c>
      <c r="K70" s="69">
        <v>115210</v>
      </c>
      <c r="L70" s="69">
        <v>14.2</v>
      </c>
      <c r="M70" s="70">
        <v>163598.20000000001</v>
      </c>
      <c r="N70" s="69">
        <v>8</v>
      </c>
      <c r="O70" s="69">
        <v>92168</v>
      </c>
      <c r="P70" s="67" t="s">
        <v>79</v>
      </c>
    </row>
    <row r="71" spans="1:16" x14ac:dyDescent="0.35">
      <c r="A71" s="68">
        <v>17</v>
      </c>
      <c r="B71" s="68" t="s">
        <v>38</v>
      </c>
      <c r="C71" s="67" t="s">
        <v>390</v>
      </c>
      <c r="D71" s="68" t="s">
        <v>21</v>
      </c>
      <c r="E71" s="68">
        <v>132</v>
      </c>
      <c r="F71" s="69">
        <v>15.75</v>
      </c>
      <c r="G71" s="69">
        <v>2079</v>
      </c>
      <c r="H71" s="69">
        <v>15</v>
      </c>
      <c r="I71" s="69">
        <v>1980</v>
      </c>
      <c r="J71" s="69">
        <v>15</v>
      </c>
      <c r="K71" s="69">
        <v>1980</v>
      </c>
      <c r="L71" s="69">
        <v>29.71</v>
      </c>
      <c r="M71" s="70">
        <v>3921.72</v>
      </c>
      <c r="N71" s="69">
        <v>13</v>
      </c>
      <c r="O71" s="69">
        <v>1716</v>
      </c>
      <c r="P71" s="67" t="s">
        <v>79</v>
      </c>
    </row>
    <row r="72" spans="1:16" x14ac:dyDescent="0.35">
      <c r="A72" s="68">
        <v>18</v>
      </c>
      <c r="B72" s="68" t="s">
        <v>41</v>
      </c>
      <c r="C72" s="67" t="s">
        <v>394</v>
      </c>
      <c r="D72" s="68" t="s">
        <v>16</v>
      </c>
      <c r="E72" s="68">
        <v>4</v>
      </c>
      <c r="F72" s="69">
        <v>1000</v>
      </c>
      <c r="G72" s="69">
        <v>4000</v>
      </c>
      <c r="H72" s="69">
        <v>1100</v>
      </c>
      <c r="I72" s="69">
        <v>4400</v>
      </c>
      <c r="J72" s="69">
        <v>1100</v>
      </c>
      <c r="K72" s="69">
        <v>4400</v>
      </c>
      <c r="L72" s="69">
        <v>2534</v>
      </c>
      <c r="M72" s="70">
        <v>10136</v>
      </c>
      <c r="N72" s="69">
        <v>2080</v>
      </c>
      <c r="O72" s="69">
        <v>8320</v>
      </c>
      <c r="P72" s="67" t="s">
        <v>79</v>
      </c>
    </row>
    <row r="73" spans="1:16" x14ac:dyDescent="0.35">
      <c r="A73" s="68">
        <v>19</v>
      </c>
      <c r="B73" s="68" t="s">
        <v>43</v>
      </c>
      <c r="C73" s="67" t="s">
        <v>432</v>
      </c>
      <c r="D73" s="68" t="s">
        <v>16</v>
      </c>
      <c r="E73" s="68">
        <v>145</v>
      </c>
      <c r="F73" s="69">
        <v>1300</v>
      </c>
      <c r="G73" s="69">
        <v>188500</v>
      </c>
      <c r="H73" s="69">
        <v>1000</v>
      </c>
      <c r="I73" s="69">
        <v>145000</v>
      </c>
      <c r="J73" s="69">
        <v>1400</v>
      </c>
      <c r="K73" s="69">
        <v>203000</v>
      </c>
      <c r="L73" s="69">
        <v>1721</v>
      </c>
      <c r="M73" s="70">
        <v>249545</v>
      </c>
      <c r="N73" s="69">
        <v>2560</v>
      </c>
      <c r="O73" s="69">
        <v>371200</v>
      </c>
      <c r="P73" s="67" t="s">
        <v>79</v>
      </c>
    </row>
    <row r="74" spans="1:16" x14ac:dyDescent="0.35">
      <c r="A74" s="68">
        <v>20</v>
      </c>
      <c r="B74" s="68" t="s">
        <v>433</v>
      </c>
      <c r="C74" s="67" t="s">
        <v>434</v>
      </c>
      <c r="D74" s="68" t="s">
        <v>16</v>
      </c>
      <c r="E74" s="68">
        <v>3</v>
      </c>
      <c r="F74" s="69">
        <v>2500</v>
      </c>
      <c r="G74" s="69">
        <v>7500</v>
      </c>
      <c r="H74" s="69">
        <v>5000</v>
      </c>
      <c r="I74" s="69">
        <v>15000</v>
      </c>
      <c r="J74" s="69">
        <v>6000</v>
      </c>
      <c r="K74" s="69">
        <v>18000</v>
      </c>
      <c r="L74" s="69">
        <v>6815</v>
      </c>
      <c r="M74" s="70">
        <v>20445</v>
      </c>
      <c r="N74" s="69">
        <v>7030</v>
      </c>
      <c r="O74" s="69">
        <v>21090</v>
      </c>
      <c r="P74" s="67" t="s">
        <v>79</v>
      </c>
    </row>
    <row r="75" spans="1:16" x14ac:dyDescent="0.35">
      <c r="A75" s="68">
        <v>21</v>
      </c>
      <c r="B75" s="68" t="s">
        <v>435</v>
      </c>
      <c r="C75" s="67" t="s">
        <v>436</v>
      </c>
      <c r="D75" s="68" t="s">
        <v>16</v>
      </c>
      <c r="E75" s="68">
        <v>2</v>
      </c>
      <c r="F75" s="69">
        <v>1500</v>
      </c>
      <c r="G75" s="69">
        <v>3000</v>
      </c>
      <c r="H75" s="69">
        <v>4000</v>
      </c>
      <c r="I75" s="69">
        <v>8000</v>
      </c>
      <c r="J75" s="69">
        <v>4000</v>
      </c>
      <c r="K75" s="69">
        <v>8000</v>
      </c>
      <c r="L75" s="69">
        <v>5098</v>
      </c>
      <c r="M75" s="70">
        <v>10196</v>
      </c>
      <c r="N75" s="69">
        <v>7360</v>
      </c>
      <c r="O75" s="69">
        <v>14720</v>
      </c>
      <c r="P75" s="67" t="s">
        <v>79</v>
      </c>
    </row>
    <row r="76" spans="1:16" x14ac:dyDescent="0.35">
      <c r="A76" s="68">
        <v>22</v>
      </c>
      <c r="B76" s="68" t="s">
        <v>148</v>
      </c>
      <c r="C76" s="67" t="s">
        <v>437</v>
      </c>
      <c r="D76" s="68" t="s">
        <v>16</v>
      </c>
      <c r="E76" s="68">
        <v>30</v>
      </c>
      <c r="F76" s="69">
        <v>650</v>
      </c>
      <c r="G76" s="69">
        <v>19500</v>
      </c>
      <c r="H76" s="69">
        <v>150</v>
      </c>
      <c r="I76" s="69">
        <v>4500</v>
      </c>
      <c r="J76" s="69">
        <v>150</v>
      </c>
      <c r="K76" s="69">
        <v>4500</v>
      </c>
      <c r="L76" s="69">
        <v>339</v>
      </c>
      <c r="M76" s="70">
        <v>10170</v>
      </c>
      <c r="N76" s="69">
        <v>670</v>
      </c>
      <c r="O76" s="69">
        <v>20100</v>
      </c>
      <c r="P76" s="67" t="s">
        <v>79</v>
      </c>
    </row>
    <row r="77" spans="1:16" x14ac:dyDescent="0.35">
      <c r="A77" s="68">
        <v>23</v>
      </c>
      <c r="B77" s="68" t="s">
        <v>60</v>
      </c>
      <c r="C77" s="67" t="s">
        <v>117</v>
      </c>
      <c r="D77" s="68" t="s">
        <v>8</v>
      </c>
      <c r="E77" s="71">
        <v>3825</v>
      </c>
      <c r="F77" s="69">
        <v>6.5</v>
      </c>
      <c r="G77" s="69">
        <v>24862.5</v>
      </c>
      <c r="H77" s="69">
        <v>2</v>
      </c>
      <c r="I77" s="69">
        <v>7650</v>
      </c>
      <c r="J77" s="69">
        <v>8</v>
      </c>
      <c r="K77" s="69">
        <v>30600</v>
      </c>
      <c r="L77" s="69">
        <v>1.07</v>
      </c>
      <c r="M77" s="70">
        <v>4092.75</v>
      </c>
      <c r="N77" s="69">
        <v>10</v>
      </c>
      <c r="O77" s="69">
        <v>38250</v>
      </c>
      <c r="P77" s="67" t="s">
        <v>79</v>
      </c>
    </row>
    <row r="78" spans="1:16" ht="15" thickBot="1" x14ac:dyDescent="0.4">
      <c r="A78" s="68">
        <v>24</v>
      </c>
      <c r="B78" s="68" t="s">
        <v>301</v>
      </c>
      <c r="C78" s="67" t="s">
        <v>402</v>
      </c>
      <c r="D78" s="68" t="s">
        <v>11</v>
      </c>
      <c r="E78" s="68">
        <v>250</v>
      </c>
      <c r="F78" s="69">
        <v>12</v>
      </c>
      <c r="G78" s="69">
        <v>3000</v>
      </c>
      <c r="H78" s="69">
        <v>20</v>
      </c>
      <c r="I78" s="69">
        <v>5000</v>
      </c>
      <c r="J78" s="69">
        <v>20</v>
      </c>
      <c r="K78" s="69">
        <v>5000</v>
      </c>
      <c r="L78" s="69">
        <v>10</v>
      </c>
      <c r="M78" s="69">
        <v>2500</v>
      </c>
      <c r="N78" s="69">
        <v>37</v>
      </c>
      <c r="O78" s="69">
        <v>9250</v>
      </c>
      <c r="P78" s="67" t="s">
        <v>79</v>
      </c>
    </row>
    <row r="79" spans="1:16" ht="16" thickBot="1" x14ac:dyDescent="0.4">
      <c r="A79" s="72"/>
      <c r="B79" s="72"/>
      <c r="C79" s="73"/>
      <c r="D79" s="72"/>
      <c r="E79" s="74" t="s">
        <v>163</v>
      </c>
      <c r="F79" s="44"/>
      <c r="G79" s="44">
        <f>SUM(Table16[EXTENDED TOTAL])</f>
        <v>548604.75</v>
      </c>
      <c r="H79" s="44"/>
      <c r="I79" s="44">
        <f>SUM(Table16[EXTENDED TOTAL3])</f>
        <v>389503.75</v>
      </c>
      <c r="J79" s="44"/>
      <c r="K79" s="44">
        <f>SUM(Table16[EXTENDED TOTAL5])</f>
        <v>579140</v>
      </c>
      <c r="L79" s="44"/>
      <c r="M79" s="44">
        <f>SUM(Table16[EXTENDED TOTAL7])</f>
        <v>781262.66999999993</v>
      </c>
      <c r="N79" s="44"/>
      <c r="O79" s="44">
        <f>SUM(Table16[EXTENDED TOTAL8])</f>
        <v>1133386.5</v>
      </c>
      <c r="P79" s="43"/>
    </row>
    <row r="80" spans="1:16" ht="15.5" x14ac:dyDescent="0.35">
      <c r="A80" s="72"/>
      <c r="B80" s="72"/>
      <c r="C80" s="73"/>
      <c r="D80" s="72"/>
      <c r="E80" s="66"/>
      <c r="F80" s="66"/>
      <c r="G80" s="66"/>
      <c r="H80" s="66"/>
      <c r="I80" s="66"/>
      <c r="J80" s="66"/>
      <c r="K80" s="66"/>
      <c r="L80" s="75"/>
      <c r="M80" s="66"/>
      <c r="N80" s="75"/>
      <c r="O80" s="66"/>
      <c r="P80" s="43"/>
    </row>
    <row r="81" spans="1:15" ht="15.5" x14ac:dyDescent="0.35">
      <c r="A81" s="21"/>
      <c r="B81" s="21"/>
      <c r="C81" s="22"/>
      <c r="D81" s="21"/>
      <c r="E81" s="35"/>
      <c r="F81" s="31"/>
      <c r="G81" s="31"/>
      <c r="H81" s="30"/>
      <c r="I81" s="31"/>
      <c r="J81" s="30"/>
      <c r="K81" s="31"/>
      <c r="L81" s="31"/>
      <c r="M81" s="31"/>
      <c r="N81" s="31"/>
      <c r="O81" s="31"/>
    </row>
    <row r="82" spans="1:15" ht="15.5" x14ac:dyDescent="0.35">
      <c r="A82" s="21"/>
      <c r="B82" s="21"/>
      <c r="C82" s="22"/>
      <c r="D82" s="21"/>
      <c r="E82" s="35"/>
      <c r="F82" s="31"/>
      <c r="G82" s="31"/>
      <c r="H82" s="30"/>
      <c r="I82" s="31"/>
      <c r="J82" s="30"/>
      <c r="K82" s="31"/>
      <c r="L82" s="31"/>
      <c r="M82" s="31"/>
      <c r="N82" s="31"/>
      <c r="O82" s="31"/>
    </row>
    <row r="83" spans="1:15" ht="15.5" x14ac:dyDescent="0.35">
      <c r="E83" s="35"/>
      <c r="F83" s="31"/>
      <c r="G83" s="31"/>
      <c r="H83" s="30"/>
      <c r="I83" s="31"/>
      <c r="J83" s="30"/>
      <c r="K83" s="31"/>
      <c r="L83" s="30"/>
      <c r="M83" s="31"/>
      <c r="N83" s="30"/>
      <c r="O83" s="31"/>
    </row>
    <row r="85" spans="1:15" x14ac:dyDescent="0.35">
      <c r="E85" s="19"/>
      <c r="G85" s="20"/>
      <c r="H85" s="6"/>
      <c r="I85" s="20"/>
      <c r="J85" s="6"/>
      <c r="K85" s="20"/>
    </row>
    <row r="86" spans="1:15" x14ac:dyDescent="0.35">
      <c r="E86" s="19"/>
      <c r="G86" s="6"/>
      <c r="H86" s="6"/>
      <c r="I86" s="6"/>
      <c r="J86" s="6"/>
      <c r="K86" s="6"/>
    </row>
  </sheetData>
  <mergeCells count="12">
    <mergeCell ref="N14:O14"/>
    <mergeCell ref="A53:E53"/>
    <mergeCell ref="F53:G53"/>
    <mergeCell ref="H53:I53"/>
    <mergeCell ref="J53:K53"/>
    <mergeCell ref="L53:M53"/>
    <mergeCell ref="N53:O53"/>
    <mergeCell ref="A14:E14"/>
    <mergeCell ref="F14:G14"/>
    <mergeCell ref="H14:I14"/>
    <mergeCell ref="J14:K14"/>
    <mergeCell ref="L14:M14"/>
  </mergeCells>
  <pageMargins left="0.7" right="0.7" top="0.75" bottom="0.75" header="0.3" footer="0.3"/>
  <pageSetup orientation="portrait" verticalDpi="0"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7773-B2CD-42B9-A1AF-D2849B11B725}">
  <dimension ref="A1:K108"/>
  <sheetViews>
    <sheetView zoomScaleNormal="100" workbookViewId="0"/>
  </sheetViews>
  <sheetFormatPr defaultRowHeight="14.5" x14ac:dyDescent="0.35"/>
  <cols>
    <col min="1" max="1" width="32.1796875" bestFit="1" customWidth="1"/>
    <col min="2" max="2" width="57.54296875" bestFit="1" customWidth="1"/>
    <col min="3" max="3" width="148.453125" bestFit="1" customWidth="1"/>
    <col min="4" max="4" width="17.26953125" bestFit="1" customWidth="1"/>
    <col min="5" max="5" width="38.7265625" bestFit="1" customWidth="1"/>
    <col min="6" max="6" width="24.453125" bestFit="1" customWidth="1"/>
    <col min="7" max="7" width="32.7265625" bestFit="1" customWidth="1"/>
    <col min="8" max="8" width="26.1796875" bestFit="1" customWidth="1"/>
    <col min="9" max="9" width="34.1796875" bestFit="1" customWidth="1"/>
    <col min="10" max="10" width="13.54296875" bestFit="1" customWidth="1"/>
    <col min="11" max="11" width="14.1796875" bestFit="1" customWidth="1"/>
  </cols>
  <sheetData>
    <row r="1" spans="1:10" x14ac:dyDescent="0.35">
      <c r="A1" s="43"/>
      <c r="B1" s="43"/>
      <c r="C1" s="43"/>
      <c r="D1" s="43"/>
      <c r="E1" s="43"/>
      <c r="F1" s="43"/>
      <c r="G1" s="43"/>
      <c r="H1" s="43"/>
      <c r="I1" s="43"/>
      <c r="J1" s="43"/>
    </row>
    <row r="2" spans="1:10" x14ac:dyDescent="0.35">
      <c r="A2" s="43"/>
      <c r="B2" s="43"/>
      <c r="C2" s="43"/>
      <c r="D2" s="43"/>
      <c r="E2" s="43"/>
      <c r="F2" s="43"/>
      <c r="G2" s="43"/>
      <c r="H2" s="43"/>
      <c r="I2" s="43"/>
      <c r="J2" s="43"/>
    </row>
    <row r="3" spans="1:10" ht="15.5" x14ac:dyDescent="0.35">
      <c r="A3" s="50" t="s">
        <v>65</v>
      </c>
      <c r="B3" s="43" t="s">
        <v>353</v>
      </c>
      <c r="C3" s="43"/>
      <c r="D3" s="43"/>
      <c r="E3" s="43"/>
      <c r="F3" s="43"/>
      <c r="G3" s="43"/>
      <c r="H3" s="43"/>
      <c r="I3" s="43"/>
      <c r="J3" s="43"/>
    </row>
    <row r="4" spans="1:10" ht="15.5" x14ac:dyDescent="0.35">
      <c r="A4" s="50" t="s">
        <v>67</v>
      </c>
      <c r="B4" s="43" t="str">
        <f>VLOOKUP(B3,DATA!$A$2:$E$80,3)</f>
        <v>Lafayette</v>
      </c>
      <c r="C4" s="43"/>
      <c r="D4" s="43"/>
      <c r="E4" s="43"/>
      <c r="F4" s="43"/>
      <c r="G4" s="43"/>
      <c r="H4" s="43"/>
      <c r="I4" s="43"/>
      <c r="J4" s="43"/>
    </row>
    <row r="5" spans="1:10" ht="15.5" x14ac:dyDescent="0.35">
      <c r="A5" s="50" t="s">
        <v>69</v>
      </c>
      <c r="B5" s="43" t="str">
        <f>VLOOKUP(B3,DATA!$A$2:$E$80,4)</f>
        <v>Lafayette Municipal</v>
      </c>
      <c r="C5" s="43"/>
      <c r="D5" s="43"/>
      <c r="E5" s="43"/>
      <c r="F5" s="43"/>
      <c r="G5" s="43"/>
      <c r="H5" s="43"/>
      <c r="I5" s="43"/>
      <c r="J5" s="43"/>
    </row>
    <row r="6" spans="1:10" ht="15.5" x14ac:dyDescent="0.35">
      <c r="A6" s="50" t="s">
        <v>70</v>
      </c>
      <c r="B6" s="43" t="s">
        <v>354</v>
      </c>
      <c r="C6" s="43"/>
      <c r="D6" s="43"/>
      <c r="E6" s="43"/>
      <c r="F6" s="43"/>
      <c r="G6" s="43"/>
      <c r="H6" s="43"/>
      <c r="I6" s="43"/>
      <c r="J6" s="43"/>
    </row>
    <row r="7" spans="1:10" ht="15.5" x14ac:dyDescent="0.35">
      <c r="A7" s="50" t="s">
        <v>71</v>
      </c>
      <c r="B7" s="76" t="s">
        <v>743</v>
      </c>
      <c r="C7" s="43"/>
      <c r="D7" s="43"/>
      <c r="E7" s="43"/>
      <c r="F7" s="43"/>
      <c r="G7" s="43"/>
      <c r="H7" s="43"/>
      <c r="I7" s="43"/>
      <c r="J7" s="43"/>
    </row>
    <row r="8" spans="1:10" ht="15.5" x14ac:dyDescent="0.35">
      <c r="A8" s="50" t="s">
        <v>72</v>
      </c>
      <c r="B8" s="51">
        <v>44644</v>
      </c>
      <c r="C8" s="43"/>
      <c r="D8" s="43"/>
      <c r="E8" s="43"/>
      <c r="F8" s="43"/>
      <c r="G8" s="43"/>
      <c r="H8" s="43"/>
      <c r="I8" s="43"/>
      <c r="J8" s="43"/>
    </row>
    <row r="9" spans="1:10" ht="15.5" x14ac:dyDescent="0.35">
      <c r="A9" s="50" t="s">
        <v>66</v>
      </c>
      <c r="B9" s="43" t="str">
        <f>VLOOKUP(B3,DATA!$A$2:$E$80,2)</f>
        <v>Macon</v>
      </c>
      <c r="C9" s="43"/>
      <c r="D9" s="43"/>
      <c r="E9" s="43"/>
      <c r="F9" s="43"/>
      <c r="G9" s="43"/>
      <c r="H9" s="43"/>
      <c r="I9" s="43"/>
      <c r="J9" s="43"/>
    </row>
    <row r="10" spans="1:10" ht="15.5" x14ac:dyDescent="0.35">
      <c r="A10" s="50" t="s">
        <v>68</v>
      </c>
      <c r="B10" s="43" t="str">
        <f>VLOOKUP(B3,DATA!$A$2:$E$80,5)</f>
        <v>Middle</v>
      </c>
      <c r="C10" s="43"/>
      <c r="D10" s="43"/>
      <c r="E10" s="43"/>
      <c r="F10" s="43"/>
      <c r="G10" s="43"/>
      <c r="H10" s="43"/>
      <c r="I10" s="43"/>
      <c r="J10" s="43"/>
    </row>
    <row r="11" spans="1:10" ht="15" thickBot="1" x14ac:dyDescent="0.4">
      <c r="A11" s="43"/>
      <c r="B11" s="43"/>
      <c r="C11" s="43"/>
      <c r="D11" s="43"/>
      <c r="E11" s="43"/>
      <c r="F11" s="43"/>
      <c r="G11" s="43"/>
      <c r="H11" s="43"/>
      <c r="I11" s="43"/>
      <c r="J11" s="43"/>
    </row>
    <row r="12" spans="1:10" ht="15.5" x14ac:dyDescent="0.35">
      <c r="A12" s="243" t="s">
        <v>167</v>
      </c>
      <c r="B12" s="248"/>
      <c r="C12" s="248"/>
      <c r="D12" s="248"/>
      <c r="E12" s="244"/>
      <c r="F12" s="243" t="s">
        <v>75</v>
      </c>
      <c r="G12" s="244"/>
      <c r="H12" s="243" t="s">
        <v>76</v>
      </c>
      <c r="I12" s="244"/>
      <c r="J12" s="43"/>
    </row>
    <row r="13" spans="1:10" x14ac:dyDescent="0.35">
      <c r="A13" s="84" t="s">
        <v>62</v>
      </c>
      <c r="B13" s="84" t="s">
        <v>98</v>
      </c>
      <c r="C13" s="84" t="s">
        <v>0</v>
      </c>
      <c r="D13" s="84" t="s">
        <v>1</v>
      </c>
      <c r="E13" s="84" t="s">
        <v>64</v>
      </c>
      <c r="F13" s="84" t="s">
        <v>262</v>
      </c>
      <c r="G13" s="84" t="s">
        <v>94</v>
      </c>
      <c r="H13" s="84" t="s">
        <v>355</v>
      </c>
      <c r="I13" s="84" t="s">
        <v>95</v>
      </c>
      <c r="J13" s="43"/>
    </row>
    <row r="14" spans="1:10" x14ac:dyDescent="0.35">
      <c r="A14" s="85">
        <v>1</v>
      </c>
      <c r="B14" s="68" t="s">
        <v>28</v>
      </c>
      <c r="C14" s="67" t="s">
        <v>263</v>
      </c>
      <c r="D14" s="68" t="s">
        <v>3</v>
      </c>
      <c r="E14" s="68">
        <v>1</v>
      </c>
      <c r="F14" s="69">
        <v>184400</v>
      </c>
      <c r="G14" s="69">
        <v>184400</v>
      </c>
      <c r="H14" s="69">
        <v>220000</v>
      </c>
      <c r="I14" s="69">
        <v>220000</v>
      </c>
      <c r="J14" s="43"/>
    </row>
    <row r="15" spans="1:10" x14ac:dyDescent="0.35">
      <c r="A15" s="85">
        <v>2</v>
      </c>
      <c r="B15" s="68" t="s">
        <v>264</v>
      </c>
      <c r="C15" s="67" t="s">
        <v>265</v>
      </c>
      <c r="D15" s="68" t="s">
        <v>3</v>
      </c>
      <c r="E15" s="68">
        <v>1</v>
      </c>
      <c r="F15" s="69">
        <v>62400</v>
      </c>
      <c r="G15" s="69">
        <v>62400</v>
      </c>
      <c r="H15" s="69">
        <v>40000</v>
      </c>
      <c r="I15" s="69">
        <v>40000</v>
      </c>
      <c r="J15" s="43"/>
    </row>
    <row r="16" spans="1:10" x14ac:dyDescent="0.35">
      <c r="A16" s="85">
        <v>3</v>
      </c>
      <c r="B16" s="68" t="s">
        <v>99</v>
      </c>
      <c r="C16" s="67" t="s">
        <v>100</v>
      </c>
      <c r="D16" s="68" t="s">
        <v>3</v>
      </c>
      <c r="E16" s="68">
        <v>1</v>
      </c>
      <c r="F16" s="69">
        <v>68600</v>
      </c>
      <c r="G16" s="69">
        <v>68600</v>
      </c>
      <c r="H16" s="69">
        <v>175000</v>
      </c>
      <c r="I16" s="69">
        <v>175000</v>
      </c>
      <c r="J16" s="43"/>
    </row>
    <row r="17" spans="1:10" x14ac:dyDescent="0.35">
      <c r="A17" s="85">
        <v>4</v>
      </c>
      <c r="B17" s="68" t="s">
        <v>266</v>
      </c>
      <c r="C17" s="67" t="s">
        <v>267</v>
      </c>
      <c r="D17" s="68" t="s">
        <v>83</v>
      </c>
      <c r="E17" s="68">
        <v>4</v>
      </c>
      <c r="F17" s="69">
        <v>2200</v>
      </c>
      <c r="G17" s="69">
        <v>8800</v>
      </c>
      <c r="H17" s="69">
        <v>1900</v>
      </c>
      <c r="I17" s="69">
        <v>7600</v>
      </c>
      <c r="J17" s="43"/>
    </row>
    <row r="18" spans="1:10" x14ac:dyDescent="0.35">
      <c r="A18" s="85">
        <v>5</v>
      </c>
      <c r="B18" s="68" t="s">
        <v>268</v>
      </c>
      <c r="C18" s="67" t="s">
        <v>269</v>
      </c>
      <c r="D18" s="68" t="s">
        <v>21</v>
      </c>
      <c r="E18" s="71">
        <v>7000</v>
      </c>
      <c r="F18" s="69">
        <v>3</v>
      </c>
      <c r="G18" s="69">
        <v>21000</v>
      </c>
      <c r="H18" s="69">
        <v>3</v>
      </c>
      <c r="I18" s="69">
        <v>21000</v>
      </c>
      <c r="J18" s="43"/>
    </row>
    <row r="19" spans="1:10" x14ac:dyDescent="0.35">
      <c r="A19" s="85">
        <v>6</v>
      </c>
      <c r="B19" s="68" t="s">
        <v>270</v>
      </c>
      <c r="C19" s="67" t="s">
        <v>271</v>
      </c>
      <c r="D19" s="68" t="s">
        <v>8</v>
      </c>
      <c r="E19" s="71">
        <v>10000</v>
      </c>
      <c r="F19" s="69">
        <v>3</v>
      </c>
      <c r="G19" s="69">
        <v>30000</v>
      </c>
      <c r="H19" s="69">
        <v>1.5</v>
      </c>
      <c r="I19" s="69">
        <v>15000</v>
      </c>
      <c r="J19" s="43"/>
    </row>
    <row r="20" spans="1:10" x14ac:dyDescent="0.35">
      <c r="A20" s="85">
        <v>7</v>
      </c>
      <c r="B20" s="68" t="s">
        <v>272</v>
      </c>
      <c r="C20" s="67" t="s">
        <v>273</v>
      </c>
      <c r="D20" s="68" t="s">
        <v>21</v>
      </c>
      <c r="E20" s="68">
        <v>500</v>
      </c>
      <c r="F20" s="69">
        <v>2.5</v>
      </c>
      <c r="G20" s="69">
        <v>1250</v>
      </c>
      <c r="H20" s="69">
        <v>6.4</v>
      </c>
      <c r="I20" s="69">
        <v>3200</v>
      </c>
      <c r="J20" s="43"/>
    </row>
    <row r="21" spans="1:10" x14ac:dyDescent="0.35">
      <c r="A21" s="85">
        <v>8</v>
      </c>
      <c r="B21" s="68" t="s">
        <v>274</v>
      </c>
      <c r="C21" s="67" t="s">
        <v>275</v>
      </c>
      <c r="D21" s="68" t="s">
        <v>16</v>
      </c>
      <c r="E21" s="68">
        <v>1</v>
      </c>
      <c r="F21" s="69">
        <v>10000</v>
      </c>
      <c r="G21" s="69">
        <v>10000</v>
      </c>
      <c r="H21" s="69">
        <v>80000</v>
      </c>
      <c r="I21" s="69">
        <v>80000</v>
      </c>
      <c r="J21" s="43"/>
    </row>
    <row r="22" spans="1:10" x14ac:dyDescent="0.35">
      <c r="A22" s="85">
        <v>9</v>
      </c>
      <c r="B22" s="68" t="s">
        <v>276</v>
      </c>
      <c r="C22" s="67" t="s">
        <v>277</v>
      </c>
      <c r="D22" s="68" t="s">
        <v>21</v>
      </c>
      <c r="E22" s="71">
        <v>20000</v>
      </c>
      <c r="F22" s="69">
        <v>2</v>
      </c>
      <c r="G22" s="69">
        <v>40000</v>
      </c>
      <c r="H22" s="69">
        <v>0.85</v>
      </c>
      <c r="I22" s="69">
        <v>17000</v>
      </c>
      <c r="J22" s="43"/>
    </row>
    <row r="23" spans="1:10" x14ac:dyDescent="0.35">
      <c r="A23" s="85">
        <v>10</v>
      </c>
      <c r="B23" s="68" t="s">
        <v>278</v>
      </c>
      <c r="C23" s="67" t="s">
        <v>116</v>
      </c>
      <c r="D23" s="68" t="s">
        <v>57</v>
      </c>
      <c r="E23" s="71">
        <v>16176</v>
      </c>
      <c r="F23" s="69">
        <v>1.5</v>
      </c>
      <c r="G23" s="69">
        <v>24264</v>
      </c>
      <c r="H23" s="69">
        <v>0.95</v>
      </c>
      <c r="I23" s="69">
        <v>15367.2</v>
      </c>
      <c r="J23" s="43"/>
    </row>
    <row r="24" spans="1:10" x14ac:dyDescent="0.35">
      <c r="A24" s="85">
        <v>11</v>
      </c>
      <c r="B24" s="68" t="s">
        <v>279</v>
      </c>
      <c r="C24" s="67" t="s">
        <v>280</v>
      </c>
      <c r="D24" s="68" t="s">
        <v>8</v>
      </c>
      <c r="E24" s="71">
        <v>35000</v>
      </c>
      <c r="F24" s="69">
        <v>5</v>
      </c>
      <c r="G24" s="69">
        <v>175000</v>
      </c>
      <c r="H24" s="69">
        <v>4.0999999999999996</v>
      </c>
      <c r="I24" s="69">
        <v>143500</v>
      </c>
      <c r="J24" s="43"/>
    </row>
    <row r="25" spans="1:10" x14ac:dyDescent="0.35">
      <c r="A25" s="85">
        <v>12</v>
      </c>
      <c r="B25" s="68" t="s">
        <v>281</v>
      </c>
      <c r="C25" s="67" t="s">
        <v>282</v>
      </c>
      <c r="D25" s="68" t="s">
        <v>3</v>
      </c>
      <c r="E25" s="68">
        <v>1</v>
      </c>
      <c r="F25" s="69">
        <v>7500</v>
      </c>
      <c r="G25" s="69">
        <v>7500</v>
      </c>
      <c r="H25" s="69">
        <v>5500</v>
      </c>
      <c r="I25" s="69">
        <v>5500</v>
      </c>
      <c r="J25" s="43"/>
    </row>
    <row r="26" spans="1:10" x14ac:dyDescent="0.35">
      <c r="A26" s="85">
        <v>13</v>
      </c>
      <c r="B26" s="68" t="s">
        <v>46</v>
      </c>
      <c r="C26" s="67" t="s">
        <v>213</v>
      </c>
      <c r="D26" s="68" t="s">
        <v>11</v>
      </c>
      <c r="E26" s="68">
        <v>500</v>
      </c>
      <c r="F26" s="69">
        <v>10</v>
      </c>
      <c r="G26" s="69">
        <v>5000</v>
      </c>
      <c r="H26" s="69">
        <v>30</v>
      </c>
      <c r="I26" s="69">
        <v>15000</v>
      </c>
      <c r="J26" s="43"/>
    </row>
    <row r="27" spans="1:10" x14ac:dyDescent="0.35">
      <c r="A27" s="85">
        <v>14</v>
      </c>
      <c r="B27" s="68" t="s">
        <v>47</v>
      </c>
      <c r="C27" s="67" t="s">
        <v>283</v>
      </c>
      <c r="D27" s="68" t="s">
        <v>11</v>
      </c>
      <c r="E27" s="71">
        <v>1850</v>
      </c>
      <c r="F27" s="69">
        <v>10</v>
      </c>
      <c r="G27" s="69">
        <v>18500</v>
      </c>
      <c r="H27" s="69">
        <v>22</v>
      </c>
      <c r="I27" s="69">
        <v>40700</v>
      </c>
      <c r="J27" s="43"/>
    </row>
    <row r="28" spans="1:10" x14ac:dyDescent="0.35">
      <c r="A28" s="85">
        <v>15</v>
      </c>
      <c r="B28" s="68" t="s">
        <v>50</v>
      </c>
      <c r="C28" s="67" t="s">
        <v>284</v>
      </c>
      <c r="D28" s="68" t="s">
        <v>51</v>
      </c>
      <c r="E28" s="71">
        <v>4000</v>
      </c>
      <c r="F28" s="69">
        <v>135</v>
      </c>
      <c r="G28" s="69">
        <v>540000</v>
      </c>
      <c r="H28" s="69">
        <v>152</v>
      </c>
      <c r="I28" s="69">
        <v>608000</v>
      </c>
      <c r="J28" s="43"/>
    </row>
    <row r="29" spans="1:10" x14ac:dyDescent="0.35">
      <c r="A29" s="85">
        <v>16</v>
      </c>
      <c r="B29" s="68" t="s">
        <v>285</v>
      </c>
      <c r="C29" s="67" t="s">
        <v>286</v>
      </c>
      <c r="D29" s="68" t="s">
        <v>51</v>
      </c>
      <c r="E29" s="68">
        <v>150</v>
      </c>
      <c r="F29" s="69">
        <v>170</v>
      </c>
      <c r="G29" s="69">
        <v>25500</v>
      </c>
      <c r="H29" s="69">
        <v>154</v>
      </c>
      <c r="I29" s="69">
        <v>23100</v>
      </c>
      <c r="J29" s="43"/>
    </row>
    <row r="30" spans="1:10" x14ac:dyDescent="0.35">
      <c r="A30" s="85">
        <v>17</v>
      </c>
      <c r="B30" s="68" t="s">
        <v>287</v>
      </c>
      <c r="C30" s="67" t="s">
        <v>288</v>
      </c>
      <c r="D30" s="68" t="s">
        <v>53</v>
      </c>
      <c r="E30" s="71">
        <v>3500</v>
      </c>
      <c r="F30" s="69">
        <v>5</v>
      </c>
      <c r="G30" s="69">
        <v>17500</v>
      </c>
      <c r="H30" s="69">
        <v>4.3499999999999996</v>
      </c>
      <c r="I30" s="69">
        <v>15225</v>
      </c>
      <c r="J30" s="43"/>
    </row>
    <row r="31" spans="1:10" x14ac:dyDescent="0.35">
      <c r="A31" s="85">
        <v>18</v>
      </c>
      <c r="B31" s="68" t="s">
        <v>110</v>
      </c>
      <c r="C31" s="67" t="s">
        <v>289</v>
      </c>
      <c r="D31" s="68" t="s">
        <v>8</v>
      </c>
      <c r="E31" s="71">
        <v>45900</v>
      </c>
      <c r="F31" s="69">
        <v>2</v>
      </c>
      <c r="G31" s="69">
        <v>91800</v>
      </c>
      <c r="H31" s="69">
        <v>2</v>
      </c>
      <c r="I31" s="69">
        <v>91800</v>
      </c>
      <c r="J31" s="43"/>
    </row>
    <row r="32" spans="1:10" x14ac:dyDescent="0.35">
      <c r="A32" s="85">
        <v>19</v>
      </c>
      <c r="B32" s="68" t="s">
        <v>290</v>
      </c>
      <c r="C32" s="67" t="s">
        <v>291</v>
      </c>
      <c r="D32" s="68" t="s">
        <v>3</v>
      </c>
      <c r="E32" s="68">
        <v>1</v>
      </c>
      <c r="F32" s="69">
        <v>10000</v>
      </c>
      <c r="G32" s="69">
        <v>10000</v>
      </c>
      <c r="H32" s="69">
        <v>9500</v>
      </c>
      <c r="I32" s="69">
        <v>9500</v>
      </c>
      <c r="J32" s="43"/>
    </row>
    <row r="33" spans="1:10" x14ac:dyDescent="0.35">
      <c r="A33" s="85">
        <v>20</v>
      </c>
      <c r="B33" s="68" t="s">
        <v>56</v>
      </c>
      <c r="C33" s="67" t="s">
        <v>292</v>
      </c>
      <c r="D33" s="68" t="s">
        <v>57</v>
      </c>
      <c r="E33" s="71">
        <v>11416</v>
      </c>
      <c r="F33" s="69">
        <v>1.25</v>
      </c>
      <c r="G33" s="69">
        <v>14270</v>
      </c>
      <c r="H33" s="69">
        <v>0.8</v>
      </c>
      <c r="I33" s="69">
        <v>9132.7999999999993</v>
      </c>
      <c r="J33" s="43"/>
    </row>
    <row r="34" spans="1:10" x14ac:dyDescent="0.35">
      <c r="A34" s="85">
        <v>21</v>
      </c>
      <c r="B34" s="68" t="s">
        <v>58</v>
      </c>
      <c r="C34" s="67" t="s">
        <v>293</v>
      </c>
      <c r="D34" s="68" t="s">
        <v>57</v>
      </c>
      <c r="E34" s="71">
        <v>11416</v>
      </c>
      <c r="F34" s="69">
        <v>1.25</v>
      </c>
      <c r="G34" s="69">
        <v>14270</v>
      </c>
      <c r="H34" s="69">
        <v>0.8</v>
      </c>
      <c r="I34" s="69">
        <v>9132.7999999999993</v>
      </c>
      <c r="J34" s="43"/>
    </row>
    <row r="35" spans="1:10" x14ac:dyDescent="0.35">
      <c r="A35" s="85">
        <v>22</v>
      </c>
      <c r="B35" s="68" t="s">
        <v>294</v>
      </c>
      <c r="C35" s="67" t="s">
        <v>295</v>
      </c>
      <c r="D35" s="68" t="s">
        <v>57</v>
      </c>
      <c r="E35" s="71">
        <v>30766</v>
      </c>
      <c r="F35" s="69">
        <v>2</v>
      </c>
      <c r="G35" s="69">
        <v>61532</v>
      </c>
      <c r="H35" s="69">
        <v>0.8</v>
      </c>
      <c r="I35" s="69">
        <v>24612.799999999999</v>
      </c>
      <c r="J35" s="43"/>
    </row>
    <row r="36" spans="1:10" x14ac:dyDescent="0.35">
      <c r="A36" s="85">
        <v>23</v>
      </c>
      <c r="B36" s="68" t="s">
        <v>115</v>
      </c>
      <c r="C36" s="67" t="s">
        <v>296</v>
      </c>
      <c r="D36" s="68" t="s">
        <v>57</v>
      </c>
      <c r="E36" s="71">
        <v>6793</v>
      </c>
      <c r="F36" s="69">
        <v>1.25</v>
      </c>
      <c r="G36" s="69">
        <v>8491.25</v>
      </c>
      <c r="H36" s="69">
        <v>0.9</v>
      </c>
      <c r="I36" s="69">
        <v>6113.7</v>
      </c>
      <c r="J36" s="43"/>
    </row>
    <row r="37" spans="1:10" x14ac:dyDescent="0.35">
      <c r="A37" s="85">
        <v>24</v>
      </c>
      <c r="B37" s="68" t="s">
        <v>297</v>
      </c>
      <c r="C37" s="67" t="s">
        <v>298</v>
      </c>
      <c r="D37" s="68" t="s">
        <v>299</v>
      </c>
      <c r="E37" s="68">
        <v>415</v>
      </c>
      <c r="F37" s="69">
        <v>4</v>
      </c>
      <c r="G37" s="69">
        <v>1660</v>
      </c>
      <c r="H37" s="69">
        <v>1.3</v>
      </c>
      <c r="I37" s="69">
        <v>539.5</v>
      </c>
      <c r="J37" s="43"/>
    </row>
    <row r="38" spans="1:10" x14ac:dyDescent="0.35">
      <c r="A38" s="85">
        <v>25</v>
      </c>
      <c r="B38" s="68" t="s">
        <v>59</v>
      </c>
      <c r="C38" s="67" t="s">
        <v>300</v>
      </c>
      <c r="D38" s="68" t="s">
        <v>83</v>
      </c>
      <c r="E38" s="68">
        <v>8</v>
      </c>
      <c r="F38" s="69">
        <v>2500</v>
      </c>
      <c r="G38" s="69">
        <v>20000</v>
      </c>
      <c r="H38" s="69">
        <v>5600</v>
      </c>
      <c r="I38" s="69">
        <v>44800</v>
      </c>
      <c r="J38" s="43"/>
    </row>
    <row r="39" spans="1:10" x14ac:dyDescent="0.35">
      <c r="A39" s="85">
        <v>26</v>
      </c>
      <c r="B39" s="68" t="s">
        <v>60</v>
      </c>
      <c r="C39" s="67" t="s">
        <v>117</v>
      </c>
      <c r="D39" s="68" t="s">
        <v>8</v>
      </c>
      <c r="E39" s="68">
        <v>250</v>
      </c>
      <c r="F39" s="69">
        <v>7.5</v>
      </c>
      <c r="G39" s="69">
        <v>1875</v>
      </c>
      <c r="H39" s="69">
        <v>13</v>
      </c>
      <c r="I39" s="69">
        <v>3250</v>
      </c>
      <c r="J39" s="43"/>
    </row>
    <row r="40" spans="1:10" x14ac:dyDescent="0.35">
      <c r="A40" s="85">
        <v>27</v>
      </c>
      <c r="B40" s="68" t="s">
        <v>301</v>
      </c>
      <c r="C40" s="67" t="s">
        <v>302</v>
      </c>
      <c r="D40" s="68" t="s">
        <v>11</v>
      </c>
      <c r="E40" s="68">
        <v>150</v>
      </c>
      <c r="F40" s="69">
        <v>10</v>
      </c>
      <c r="G40" s="69">
        <v>1500</v>
      </c>
      <c r="H40" s="69">
        <v>30</v>
      </c>
      <c r="I40" s="69">
        <v>4500</v>
      </c>
      <c r="J40" s="43"/>
    </row>
    <row r="41" spans="1:10" x14ac:dyDescent="0.35">
      <c r="A41" s="85">
        <v>28</v>
      </c>
      <c r="B41" s="68" t="s">
        <v>33</v>
      </c>
      <c r="C41" s="67" t="s">
        <v>303</v>
      </c>
      <c r="D41" s="68" t="s">
        <v>21</v>
      </c>
      <c r="E41" s="71">
        <v>12800</v>
      </c>
      <c r="F41" s="69">
        <v>2</v>
      </c>
      <c r="G41" s="69">
        <v>25600</v>
      </c>
      <c r="H41" s="69">
        <v>2.5499999999999998</v>
      </c>
      <c r="I41" s="69">
        <v>32640</v>
      </c>
      <c r="J41" s="43"/>
    </row>
    <row r="42" spans="1:10" x14ac:dyDescent="0.35">
      <c r="A42" s="85">
        <v>29</v>
      </c>
      <c r="B42" s="68" t="s">
        <v>34</v>
      </c>
      <c r="C42" s="67" t="s">
        <v>304</v>
      </c>
      <c r="D42" s="68" t="s">
        <v>21</v>
      </c>
      <c r="E42" s="71">
        <v>13750</v>
      </c>
      <c r="F42" s="69">
        <v>2</v>
      </c>
      <c r="G42" s="69">
        <v>27500</v>
      </c>
      <c r="H42" s="69">
        <v>1.92</v>
      </c>
      <c r="I42" s="69">
        <v>26400</v>
      </c>
      <c r="J42" s="43"/>
    </row>
    <row r="43" spans="1:10" x14ac:dyDescent="0.35">
      <c r="A43" s="85">
        <v>30</v>
      </c>
      <c r="B43" s="68" t="s">
        <v>35</v>
      </c>
      <c r="C43" s="67" t="s">
        <v>305</v>
      </c>
      <c r="D43" s="68" t="s">
        <v>21</v>
      </c>
      <c r="E43" s="71">
        <v>12800</v>
      </c>
      <c r="F43" s="69">
        <v>2</v>
      </c>
      <c r="G43" s="69">
        <v>25600</v>
      </c>
      <c r="H43" s="69">
        <v>1.8</v>
      </c>
      <c r="I43" s="69">
        <v>23040</v>
      </c>
      <c r="J43" s="43"/>
    </row>
    <row r="44" spans="1:10" x14ac:dyDescent="0.35">
      <c r="A44" s="85">
        <v>31</v>
      </c>
      <c r="B44" s="68" t="s">
        <v>36</v>
      </c>
      <c r="C44" s="67" t="s">
        <v>306</v>
      </c>
      <c r="D44" s="68" t="s">
        <v>21</v>
      </c>
      <c r="E44" s="71">
        <v>3400</v>
      </c>
      <c r="F44" s="69">
        <v>1.5</v>
      </c>
      <c r="G44" s="69">
        <v>5100</v>
      </c>
      <c r="H44" s="69">
        <v>1.3</v>
      </c>
      <c r="I44" s="69">
        <v>4420</v>
      </c>
      <c r="J44" s="43"/>
    </row>
    <row r="45" spans="1:10" x14ac:dyDescent="0.35">
      <c r="A45" s="85">
        <v>32</v>
      </c>
      <c r="B45" s="68" t="s">
        <v>135</v>
      </c>
      <c r="C45" s="67" t="s">
        <v>307</v>
      </c>
      <c r="D45" s="68" t="s">
        <v>3</v>
      </c>
      <c r="E45" s="68">
        <v>1</v>
      </c>
      <c r="F45" s="69">
        <v>120000</v>
      </c>
      <c r="G45" s="69">
        <v>120000</v>
      </c>
      <c r="H45" s="69">
        <v>140000</v>
      </c>
      <c r="I45" s="69">
        <v>140000</v>
      </c>
      <c r="J45" s="43"/>
    </row>
    <row r="46" spans="1:10" x14ac:dyDescent="0.35">
      <c r="A46" s="85">
        <v>33</v>
      </c>
      <c r="B46" s="68" t="s">
        <v>136</v>
      </c>
      <c r="C46" s="67" t="s">
        <v>308</v>
      </c>
      <c r="D46" s="68" t="s">
        <v>16</v>
      </c>
      <c r="E46" s="68">
        <v>1</v>
      </c>
      <c r="F46" s="69">
        <v>20000</v>
      </c>
      <c r="G46" s="69">
        <v>20000</v>
      </c>
      <c r="H46" s="69">
        <v>25000</v>
      </c>
      <c r="I46" s="69">
        <v>25000</v>
      </c>
      <c r="J46" s="43"/>
    </row>
    <row r="47" spans="1:10" x14ac:dyDescent="0.35">
      <c r="A47" s="85">
        <v>34</v>
      </c>
      <c r="B47" s="68" t="s">
        <v>137</v>
      </c>
      <c r="C47" s="67" t="s">
        <v>309</v>
      </c>
      <c r="D47" s="68" t="s">
        <v>16</v>
      </c>
      <c r="E47" s="68">
        <v>1</v>
      </c>
      <c r="F47" s="69">
        <v>5000</v>
      </c>
      <c r="G47" s="69">
        <v>5000</v>
      </c>
      <c r="H47" s="69">
        <v>12700</v>
      </c>
      <c r="I47" s="69">
        <v>12700</v>
      </c>
      <c r="J47" s="43"/>
    </row>
    <row r="48" spans="1:10" x14ac:dyDescent="0.35">
      <c r="A48" s="85">
        <v>35</v>
      </c>
      <c r="B48" s="68" t="s">
        <v>138</v>
      </c>
      <c r="C48" s="67" t="s">
        <v>310</v>
      </c>
      <c r="D48" s="68" t="s">
        <v>16</v>
      </c>
      <c r="E48" s="68">
        <v>1</v>
      </c>
      <c r="F48" s="69">
        <v>40000</v>
      </c>
      <c r="G48" s="69">
        <v>40000</v>
      </c>
      <c r="H48" s="69">
        <v>63500</v>
      </c>
      <c r="I48" s="69">
        <v>63500</v>
      </c>
      <c r="J48" s="43"/>
    </row>
    <row r="49" spans="1:10" x14ac:dyDescent="0.35">
      <c r="A49" s="85">
        <v>36</v>
      </c>
      <c r="B49" s="68" t="s">
        <v>139</v>
      </c>
      <c r="C49" s="67" t="s">
        <v>311</v>
      </c>
      <c r="D49" s="68" t="s">
        <v>16</v>
      </c>
      <c r="E49" s="68">
        <v>1</v>
      </c>
      <c r="F49" s="69">
        <v>5000</v>
      </c>
      <c r="G49" s="69">
        <v>5000</v>
      </c>
      <c r="H49" s="69">
        <v>6400</v>
      </c>
      <c r="I49" s="69">
        <v>6400</v>
      </c>
      <c r="J49" s="43"/>
    </row>
    <row r="50" spans="1:10" x14ac:dyDescent="0.35">
      <c r="A50" s="85">
        <v>37</v>
      </c>
      <c r="B50" s="68" t="s">
        <v>37</v>
      </c>
      <c r="C50" s="67" t="s">
        <v>312</v>
      </c>
      <c r="D50" s="68" t="s">
        <v>21</v>
      </c>
      <c r="E50" s="68">
        <v>12700</v>
      </c>
      <c r="F50" s="69">
        <v>4</v>
      </c>
      <c r="G50" s="69">
        <v>50800</v>
      </c>
      <c r="H50" s="69">
        <v>7.65</v>
      </c>
      <c r="I50" s="69">
        <v>97155</v>
      </c>
      <c r="J50" s="43"/>
    </row>
    <row r="51" spans="1:10" x14ac:dyDescent="0.35">
      <c r="A51" s="85">
        <v>38</v>
      </c>
      <c r="B51" s="68" t="s">
        <v>40</v>
      </c>
      <c r="C51" s="67" t="s">
        <v>313</v>
      </c>
      <c r="D51" s="68" t="s">
        <v>16</v>
      </c>
      <c r="E51" s="68">
        <v>3</v>
      </c>
      <c r="F51" s="69">
        <v>800</v>
      </c>
      <c r="G51" s="69">
        <v>2400</v>
      </c>
      <c r="H51" s="69">
        <v>890</v>
      </c>
      <c r="I51" s="69">
        <v>2670</v>
      </c>
      <c r="J51" s="43"/>
    </row>
    <row r="52" spans="1:10" x14ac:dyDescent="0.35">
      <c r="A52" s="85">
        <v>39</v>
      </c>
      <c r="B52" s="68" t="s">
        <v>42</v>
      </c>
      <c r="C52" s="67" t="s">
        <v>314</v>
      </c>
      <c r="D52" s="68" t="s">
        <v>16</v>
      </c>
      <c r="E52" s="68">
        <v>42</v>
      </c>
      <c r="F52" s="69">
        <v>1750</v>
      </c>
      <c r="G52" s="69">
        <v>73500</v>
      </c>
      <c r="H52" s="69">
        <v>1590</v>
      </c>
      <c r="I52" s="69">
        <v>66780</v>
      </c>
      <c r="J52" s="43"/>
    </row>
    <row r="53" spans="1:10" x14ac:dyDescent="0.35">
      <c r="A53" s="85">
        <v>40</v>
      </c>
      <c r="B53" s="68" t="s">
        <v>43</v>
      </c>
      <c r="C53" s="67" t="s">
        <v>315</v>
      </c>
      <c r="D53" s="68" t="s">
        <v>16</v>
      </c>
      <c r="E53" s="68">
        <v>10</v>
      </c>
      <c r="F53" s="69">
        <v>1750</v>
      </c>
      <c r="G53" s="69">
        <v>17500</v>
      </c>
      <c r="H53" s="69">
        <v>1590</v>
      </c>
      <c r="I53" s="69">
        <v>15900</v>
      </c>
      <c r="J53" s="43"/>
    </row>
    <row r="54" spans="1:10" x14ac:dyDescent="0.35">
      <c r="A54" s="85">
        <v>41</v>
      </c>
      <c r="B54" s="68" t="s">
        <v>44</v>
      </c>
      <c r="C54" s="67" t="s">
        <v>316</v>
      </c>
      <c r="D54" s="68" t="s">
        <v>16</v>
      </c>
      <c r="E54" s="68">
        <v>8</v>
      </c>
      <c r="F54" s="69">
        <v>1750</v>
      </c>
      <c r="G54" s="69">
        <v>14000</v>
      </c>
      <c r="H54" s="69">
        <v>1650</v>
      </c>
      <c r="I54" s="69">
        <v>13200</v>
      </c>
      <c r="J54" s="43"/>
    </row>
    <row r="55" spans="1:10" x14ac:dyDescent="0.35">
      <c r="A55" s="85">
        <v>42</v>
      </c>
      <c r="B55" s="68" t="s">
        <v>45</v>
      </c>
      <c r="C55" s="67" t="s">
        <v>317</v>
      </c>
      <c r="D55" s="68" t="s">
        <v>16</v>
      </c>
      <c r="E55" s="68">
        <v>2</v>
      </c>
      <c r="F55" s="69">
        <v>1750</v>
      </c>
      <c r="G55" s="69">
        <v>3500</v>
      </c>
      <c r="H55" s="69">
        <v>1780</v>
      </c>
      <c r="I55" s="69">
        <v>3560</v>
      </c>
      <c r="J55" s="43"/>
    </row>
    <row r="56" spans="1:10" x14ac:dyDescent="0.35">
      <c r="A56" s="85">
        <v>43</v>
      </c>
      <c r="B56" s="68" t="s">
        <v>146</v>
      </c>
      <c r="C56" s="67" t="s">
        <v>318</v>
      </c>
      <c r="D56" s="68" t="s">
        <v>16</v>
      </c>
      <c r="E56" s="68">
        <v>6</v>
      </c>
      <c r="F56" s="69">
        <v>1750</v>
      </c>
      <c r="G56" s="69">
        <v>10500</v>
      </c>
      <c r="H56" s="69">
        <v>1525</v>
      </c>
      <c r="I56" s="69">
        <v>9150</v>
      </c>
      <c r="J56" s="43"/>
    </row>
    <row r="57" spans="1:10" x14ac:dyDescent="0.35">
      <c r="A57" s="85">
        <v>44</v>
      </c>
      <c r="B57" s="68" t="s">
        <v>319</v>
      </c>
      <c r="C57" s="67" t="s">
        <v>320</v>
      </c>
      <c r="D57" s="68" t="s">
        <v>16</v>
      </c>
      <c r="E57" s="68">
        <v>8</v>
      </c>
      <c r="F57" s="69">
        <v>1750</v>
      </c>
      <c r="G57" s="69">
        <v>14000</v>
      </c>
      <c r="H57" s="69">
        <v>1715</v>
      </c>
      <c r="I57" s="69">
        <v>13720</v>
      </c>
      <c r="J57" s="43"/>
    </row>
    <row r="58" spans="1:10" x14ac:dyDescent="0.35">
      <c r="A58" s="85">
        <v>45</v>
      </c>
      <c r="B58" s="68" t="s">
        <v>148</v>
      </c>
      <c r="C58" s="67" t="s">
        <v>321</v>
      </c>
      <c r="D58" s="68" t="s">
        <v>16</v>
      </c>
      <c r="E58" s="68">
        <v>21</v>
      </c>
      <c r="F58" s="69">
        <v>1600</v>
      </c>
      <c r="G58" s="69">
        <v>33600</v>
      </c>
      <c r="H58" s="69">
        <v>1460</v>
      </c>
      <c r="I58" s="69">
        <v>30660</v>
      </c>
      <c r="J58" s="43"/>
    </row>
    <row r="59" spans="1:10" x14ac:dyDescent="0.35">
      <c r="A59" s="85">
        <v>46</v>
      </c>
      <c r="B59" s="68" t="s">
        <v>149</v>
      </c>
      <c r="C59" s="67" t="s">
        <v>322</v>
      </c>
      <c r="D59" s="68" t="s">
        <v>16</v>
      </c>
      <c r="E59" s="68">
        <v>6</v>
      </c>
      <c r="F59" s="69">
        <v>800</v>
      </c>
      <c r="G59" s="69">
        <v>4800</v>
      </c>
      <c r="H59" s="69">
        <v>390</v>
      </c>
      <c r="I59" s="69">
        <v>2340</v>
      </c>
      <c r="J59" s="43"/>
    </row>
    <row r="60" spans="1:10" x14ac:dyDescent="0.35">
      <c r="A60" s="85">
        <v>47</v>
      </c>
      <c r="B60" s="68" t="s">
        <v>323</v>
      </c>
      <c r="C60" s="67" t="s">
        <v>324</v>
      </c>
      <c r="D60" s="68" t="s">
        <v>16</v>
      </c>
      <c r="E60" s="68">
        <v>3</v>
      </c>
      <c r="F60" s="69">
        <v>800</v>
      </c>
      <c r="G60" s="69">
        <v>2400</v>
      </c>
      <c r="H60" s="69">
        <v>260</v>
      </c>
      <c r="I60" s="69">
        <v>780</v>
      </c>
      <c r="J60" s="43"/>
    </row>
    <row r="61" spans="1:10" x14ac:dyDescent="0.35">
      <c r="A61" s="85">
        <v>48</v>
      </c>
      <c r="B61" s="68" t="s">
        <v>325</v>
      </c>
      <c r="C61" s="67" t="s">
        <v>326</v>
      </c>
      <c r="D61" s="68" t="s">
        <v>16</v>
      </c>
      <c r="E61" s="68">
        <v>2</v>
      </c>
      <c r="F61" s="69">
        <v>25000</v>
      </c>
      <c r="G61" s="69">
        <v>50000</v>
      </c>
      <c r="H61" s="69">
        <v>23500</v>
      </c>
      <c r="I61" s="69">
        <v>47000</v>
      </c>
      <c r="J61" s="43"/>
    </row>
    <row r="62" spans="1:10" ht="15" thickBot="1" x14ac:dyDescent="0.4">
      <c r="A62" s="85">
        <v>49</v>
      </c>
      <c r="B62" s="68" t="s">
        <v>327</v>
      </c>
      <c r="C62" s="67" t="s">
        <v>328</v>
      </c>
      <c r="D62" s="68" t="s">
        <v>3</v>
      </c>
      <c r="E62" s="68">
        <v>1</v>
      </c>
      <c r="F62" s="69">
        <v>12000</v>
      </c>
      <c r="G62" s="69">
        <v>12000</v>
      </c>
      <c r="H62" s="69">
        <v>8300</v>
      </c>
      <c r="I62" s="69">
        <v>8300</v>
      </c>
      <c r="J62" s="43"/>
    </row>
    <row r="63" spans="1:10" ht="16" thickBot="1" x14ac:dyDescent="0.4">
      <c r="A63" s="43"/>
      <c r="B63" s="43"/>
      <c r="C63" s="43"/>
      <c r="D63" s="67"/>
      <c r="E63" s="74" t="s">
        <v>164</v>
      </c>
      <c r="F63" s="86"/>
      <c r="G63" s="44">
        <f>SUM(Table12[EXTENDED TOTAL])</f>
        <v>2027912.25</v>
      </c>
      <c r="H63" s="86"/>
      <c r="I63" s="45">
        <f>SUM(Table12[EXTENDED TOTAL2])</f>
        <v>2293888.7999999998</v>
      </c>
      <c r="J63" s="43"/>
    </row>
    <row r="64" spans="1:10" ht="15" thickBot="1" x14ac:dyDescent="0.4">
      <c r="A64" s="43"/>
      <c r="B64" s="43"/>
      <c r="C64" s="43"/>
      <c r="D64" s="67"/>
      <c r="E64" s="68"/>
      <c r="F64" s="43"/>
      <c r="G64" s="69"/>
      <c r="H64" s="43"/>
      <c r="I64" s="69"/>
      <c r="J64" s="43"/>
    </row>
    <row r="65" spans="1:10" ht="16" thickBot="1" x14ac:dyDescent="0.4">
      <c r="A65" s="245" t="s">
        <v>457</v>
      </c>
      <c r="B65" s="246"/>
      <c r="C65" s="246"/>
      <c r="D65" s="246"/>
      <c r="E65" s="247"/>
      <c r="F65" s="243" t="s">
        <v>75</v>
      </c>
      <c r="G65" s="244"/>
      <c r="H65" s="243" t="s">
        <v>76</v>
      </c>
      <c r="I65" s="244"/>
      <c r="J65" s="43"/>
    </row>
    <row r="66" spans="1:10" x14ac:dyDescent="0.35">
      <c r="A66" s="87" t="s">
        <v>62</v>
      </c>
      <c r="B66" s="84" t="s">
        <v>98</v>
      </c>
      <c r="C66" s="84" t="s">
        <v>0</v>
      </c>
      <c r="D66" s="84" t="s">
        <v>1</v>
      </c>
      <c r="E66" s="84" t="s">
        <v>64</v>
      </c>
      <c r="F66" s="84" t="s">
        <v>262</v>
      </c>
      <c r="G66" s="84" t="s">
        <v>94</v>
      </c>
      <c r="H66" s="84" t="s">
        <v>355</v>
      </c>
      <c r="I66" s="84" t="s">
        <v>357</v>
      </c>
      <c r="J66" s="43"/>
    </row>
    <row r="67" spans="1:10" x14ac:dyDescent="0.35">
      <c r="A67" s="57">
        <v>1</v>
      </c>
      <c r="B67" s="68" t="s">
        <v>28</v>
      </c>
      <c r="C67" s="67" t="s">
        <v>329</v>
      </c>
      <c r="D67" s="68" t="s">
        <v>3</v>
      </c>
      <c r="E67" s="68">
        <v>1</v>
      </c>
      <c r="F67" s="69">
        <v>53100</v>
      </c>
      <c r="G67" s="69">
        <v>53100</v>
      </c>
      <c r="H67" s="69">
        <v>62000</v>
      </c>
      <c r="I67" s="69">
        <v>62000</v>
      </c>
      <c r="J67" s="43"/>
    </row>
    <row r="68" spans="1:10" x14ac:dyDescent="0.35">
      <c r="A68" s="57">
        <v>2</v>
      </c>
      <c r="B68" s="68" t="s">
        <v>264</v>
      </c>
      <c r="C68" s="67" t="s">
        <v>265</v>
      </c>
      <c r="D68" s="68" t="s">
        <v>3</v>
      </c>
      <c r="E68" s="68">
        <v>1</v>
      </c>
      <c r="F68" s="69">
        <v>18000</v>
      </c>
      <c r="G68" s="69">
        <v>18000</v>
      </c>
      <c r="H68" s="69">
        <v>10000</v>
      </c>
      <c r="I68" s="69">
        <v>10000</v>
      </c>
      <c r="J68" s="43"/>
    </row>
    <row r="69" spans="1:10" x14ac:dyDescent="0.35">
      <c r="A69" s="57">
        <v>3</v>
      </c>
      <c r="B69" s="68" t="s">
        <v>99</v>
      </c>
      <c r="C69" s="67" t="s">
        <v>100</v>
      </c>
      <c r="D69" s="68" t="s">
        <v>3</v>
      </c>
      <c r="E69" s="68">
        <v>1</v>
      </c>
      <c r="F69" s="69">
        <v>29000</v>
      </c>
      <c r="G69" s="69">
        <v>29000</v>
      </c>
      <c r="H69" s="69">
        <v>50000</v>
      </c>
      <c r="I69" s="69">
        <v>50000</v>
      </c>
      <c r="J69" s="43"/>
    </row>
    <row r="70" spans="1:10" x14ac:dyDescent="0.35">
      <c r="A70" s="57">
        <v>4</v>
      </c>
      <c r="B70" s="68" t="s">
        <v>266</v>
      </c>
      <c r="C70" s="67" t="s">
        <v>267</v>
      </c>
      <c r="D70" s="68" t="s">
        <v>83</v>
      </c>
      <c r="E70" s="68">
        <v>1</v>
      </c>
      <c r="F70" s="69">
        <v>2200</v>
      </c>
      <c r="G70" s="69">
        <v>2200</v>
      </c>
      <c r="H70" s="69">
        <v>1900</v>
      </c>
      <c r="I70" s="69">
        <v>1900</v>
      </c>
      <c r="J70" s="43"/>
    </row>
    <row r="71" spans="1:10" x14ac:dyDescent="0.35">
      <c r="A71" s="57">
        <v>5</v>
      </c>
      <c r="B71" s="68" t="s">
        <v>330</v>
      </c>
      <c r="C71" s="67" t="s">
        <v>331</v>
      </c>
      <c r="D71" s="68" t="s">
        <v>8</v>
      </c>
      <c r="E71" s="68">
        <v>50</v>
      </c>
      <c r="F71" s="69">
        <v>50</v>
      </c>
      <c r="G71" s="69">
        <v>2500</v>
      </c>
      <c r="H71" s="69">
        <v>70</v>
      </c>
      <c r="I71" s="69">
        <v>3500</v>
      </c>
      <c r="J71" s="43"/>
    </row>
    <row r="72" spans="1:10" x14ac:dyDescent="0.35">
      <c r="A72" s="57">
        <v>6</v>
      </c>
      <c r="B72" s="68" t="s">
        <v>46</v>
      </c>
      <c r="C72" s="67" t="s">
        <v>332</v>
      </c>
      <c r="D72" s="68" t="s">
        <v>11</v>
      </c>
      <c r="E72" s="68">
        <v>150</v>
      </c>
      <c r="F72" s="69">
        <v>10</v>
      </c>
      <c r="G72" s="69">
        <v>1500</v>
      </c>
      <c r="H72" s="69">
        <v>30</v>
      </c>
      <c r="I72" s="69">
        <v>4500</v>
      </c>
      <c r="J72" s="43"/>
    </row>
    <row r="73" spans="1:10" x14ac:dyDescent="0.35">
      <c r="A73" s="57">
        <v>7</v>
      </c>
      <c r="B73" s="68" t="s">
        <v>333</v>
      </c>
      <c r="C73" s="67" t="s">
        <v>334</v>
      </c>
      <c r="D73" s="68" t="s">
        <v>11</v>
      </c>
      <c r="E73" s="68">
        <v>1500</v>
      </c>
      <c r="F73" s="69">
        <v>25</v>
      </c>
      <c r="G73" s="69">
        <v>37500</v>
      </c>
      <c r="H73" s="69">
        <v>30</v>
      </c>
      <c r="I73" s="69">
        <v>45000</v>
      </c>
      <c r="J73" s="43"/>
    </row>
    <row r="74" spans="1:10" x14ac:dyDescent="0.35">
      <c r="A74" s="57">
        <v>8</v>
      </c>
      <c r="B74" s="68" t="s">
        <v>335</v>
      </c>
      <c r="C74" s="67" t="s">
        <v>336</v>
      </c>
      <c r="D74" s="68" t="s">
        <v>8</v>
      </c>
      <c r="E74" s="68">
        <v>2200</v>
      </c>
      <c r="F74" s="69">
        <v>5</v>
      </c>
      <c r="G74" s="69">
        <v>11000</v>
      </c>
      <c r="H74" s="69">
        <v>4.7</v>
      </c>
      <c r="I74" s="69">
        <v>10340</v>
      </c>
      <c r="J74" s="43"/>
    </row>
    <row r="75" spans="1:10" x14ac:dyDescent="0.35">
      <c r="A75" s="57">
        <v>9</v>
      </c>
      <c r="B75" s="68" t="s">
        <v>48</v>
      </c>
      <c r="C75" s="67" t="s">
        <v>337</v>
      </c>
      <c r="D75" s="68" t="s">
        <v>8</v>
      </c>
      <c r="E75" s="68">
        <v>6300</v>
      </c>
      <c r="F75" s="69">
        <v>20</v>
      </c>
      <c r="G75" s="69">
        <v>126000</v>
      </c>
      <c r="H75" s="69">
        <v>12.7</v>
      </c>
      <c r="I75" s="69">
        <v>80010</v>
      </c>
      <c r="J75" s="43"/>
    </row>
    <row r="76" spans="1:10" x14ac:dyDescent="0.35">
      <c r="A76" s="57">
        <v>10</v>
      </c>
      <c r="B76" s="68" t="s">
        <v>49</v>
      </c>
      <c r="C76" s="67" t="s">
        <v>338</v>
      </c>
      <c r="D76" s="68" t="s">
        <v>51</v>
      </c>
      <c r="E76" s="68">
        <v>325</v>
      </c>
      <c r="F76" s="69">
        <v>190</v>
      </c>
      <c r="G76" s="69">
        <v>61750</v>
      </c>
      <c r="H76" s="69">
        <v>275</v>
      </c>
      <c r="I76" s="69">
        <v>89375</v>
      </c>
      <c r="J76" s="43"/>
    </row>
    <row r="77" spans="1:10" x14ac:dyDescent="0.35">
      <c r="A77" s="57">
        <v>11</v>
      </c>
      <c r="B77" s="68" t="s">
        <v>339</v>
      </c>
      <c r="C77" s="67" t="s">
        <v>340</v>
      </c>
      <c r="D77" s="68" t="s">
        <v>51</v>
      </c>
      <c r="E77" s="68">
        <v>1500</v>
      </c>
      <c r="F77" s="69">
        <v>135</v>
      </c>
      <c r="G77" s="69">
        <v>202500</v>
      </c>
      <c r="H77" s="69">
        <v>145</v>
      </c>
      <c r="I77" s="69">
        <v>217500</v>
      </c>
      <c r="J77" s="43"/>
    </row>
    <row r="78" spans="1:10" x14ac:dyDescent="0.35">
      <c r="A78" s="57">
        <v>12</v>
      </c>
      <c r="B78" s="68" t="s">
        <v>341</v>
      </c>
      <c r="C78" s="67" t="s">
        <v>342</v>
      </c>
      <c r="D78" s="68" t="s">
        <v>53</v>
      </c>
      <c r="E78" s="68">
        <v>1890</v>
      </c>
      <c r="F78" s="69">
        <v>7</v>
      </c>
      <c r="G78" s="69">
        <v>13230</v>
      </c>
      <c r="H78" s="69">
        <v>4.5</v>
      </c>
      <c r="I78" s="69">
        <v>8505</v>
      </c>
      <c r="J78" s="43"/>
    </row>
    <row r="79" spans="1:10" x14ac:dyDescent="0.35">
      <c r="A79" s="57">
        <v>13</v>
      </c>
      <c r="B79" s="68" t="s">
        <v>287</v>
      </c>
      <c r="C79" s="67" t="s">
        <v>288</v>
      </c>
      <c r="D79" s="68" t="s">
        <v>53</v>
      </c>
      <c r="E79" s="68">
        <v>640</v>
      </c>
      <c r="F79" s="69">
        <v>5</v>
      </c>
      <c r="G79" s="69">
        <v>3200</v>
      </c>
      <c r="H79" s="69">
        <v>4.3499999999999996</v>
      </c>
      <c r="I79" s="69">
        <v>2784</v>
      </c>
      <c r="J79" s="43"/>
    </row>
    <row r="80" spans="1:10" x14ac:dyDescent="0.35">
      <c r="A80" s="57">
        <v>14</v>
      </c>
      <c r="B80" s="68" t="s">
        <v>343</v>
      </c>
      <c r="C80" s="67" t="s">
        <v>344</v>
      </c>
      <c r="D80" s="68" t="s">
        <v>57</v>
      </c>
      <c r="E80" s="68">
        <v>2450</v>
      </c>
      <c r="F80" s="69">
        <v>2</v>
      </c>
      <c r="G80" s="69">
        <v>4900</v>
      </c>
      <c r="H80" s="69">
        <v>1.3</v>
      </c>
      <c r="I80" s="69">
        <v>3185</v>
      </c>
      <c r="J80" s="43"/>
    </row>
    <row r="81" spans="1:11" x14ac:dyDescent="0.35">
      <c r="A81" s="57">
        <v>15</v>
      </c>
      <c r="B81" s="68" t="s">
        <v>345</v>
      </c>
      <c r="C81" s="67" t="s">
        <v>346</v>
      </c>
      <c r="D81" s="68" t="s">
        <v>21</v>
      </c>
      <c r="E81" s="68">
        <v>75</v>
      </c>
      <c r="F81" s="69">
        <v>90</v>
      </c>
      <c r="G81" s="69">
        <v>6750</v>
      </c>
      <c r="H81" s="69">
        <v>315</v>
      </c>
      <c r="I81" s="69">
        <v>23625</v>
      </c>
      <c r="J81" s="43"/>
    </row>
    <row r="82" spans="1:11" x14ac:dyDescent="0.35">
      <c r="A82" s="57">
        <v>16</v>
      </c>
      <c r="B82" s="68" t="s">
        <v>347</v>
      </c>
      <c r="C82" s="67" t="s">
        <v>348</v>
      </c>
      <c r="D82" s="68" t="s">
        <v>16</v>
      </c>
      <c r="E82" s="68">
        <v>2</v>
      </c>
      <c r="F82" s="69">
        <v>5000</v>
      </c>
      <c r="G82" s="69">
        <v>10000</v>
      </c>
      <c r="H82" s="69">
        <v>11700</v>
      </c>
      <c r="I82" s="69">
        <v>23400</v>
      </c>
      <c r="J82" s="43"/>
    </row>
    <row r="83" spans="1:11" x14ac:dyDescent="0.35">
      <c r="A83" s="57">
        <v>17</v>
      </c>
      <c r="B83" s="68" t="s">
        <v>59</v>
      </c>
      <c r="C83" s="67" t="s">
        <v>300</v>
      </c>
      <c r="D83" s="68" t="s">
        <v>83</v>
      </c>
      <c r="E83" s="68">
        <v>1</v>
      </c>
      <c r="F83" s="69">
        <v>3000</v>
      </c>
      <c r="G83" s="69">
        <v>3000</v>
      </c>
      <c r="H83" s="69">
        <v>5600</v>
      </c>
      <c r="I83" s="69">
        <v>5600</v>
      </c>
      <c r="J83" s="43"/>
    </row>
    <row r="84" spans="1:11" x14ac:dyDescent="0.35">
      <c r="A84" s="57">
        <v>18</v>
      </c>
      <c r="B84" s="68" t="s">
        <v>60</v>
      </c>
      <c r="C84" s="67" t="s">
        <v>117</v>
      </c>
      <c r="D84" s="68" t="s">
        <v>8</v>
      </c>
      <c r="E84" s="68">
        <v>1200</v>
      </c>
      <c r="F84" s="69">
        <v>7.5</v>
      </c>
      <c r="G84" s="69">
        <v>9000</v>
      </c>
      <c r="H84" s="69">
        <v>13</v>
      </c>
      <c r="I84" s="69">
        <v>15600</v>
      </c>
      <c r="J84" s="43"/>
    </row>
    <row r="85" spans="1:11" ht="15" thickBot="1" x14ac:dyDescent="0.4">
      <c r="A85" s="57">
        <v>19</v>
      </c>
      <c r="B85" s="68" t="s">
        <v>301</v>
      </c>
      <c r="C85" s="67" t="s">
        <v>302</v>
      </c>
      <c r="D85" s="68" t="s">
        <v>11</v>
      </c>
      <c r="E85" s="68">
        <v>1050</v>
      </c>
      <c r="F85" s="69">
        <v>10</v>
      </c>
      <c r="G85" s="69">
        <v>10500</v>
      </c>
      <c r="H85" s="69">
        <v>30</v>
      </c>
      <c r="I85" s="69">
        <v>31500</v>
      </c>
      <c r="J85" s="43"/>
      <c r="K85" s="11"/>
    </row>
    <row r="86" spans="1:11" ht="16" thickBot="1" x14ac:dyDescent="0.4">
      <c r="A86" s="43"/>
      <c r="B86" s="43"/>
      <c r="C86" s="43"/>
      <c r="D86" s="43"/>
      <c r="E86" s="74" t="s">
        <v>163</v>
      </c>
      <c r="F86" s="88"/>
      <c r="G86" s="44">
        <f>SUM(Table13[EXTENDED TOTAL])</f>
        <v>605630</v>
      </c>
      <c r="H86" s="88"/>
      <c r="I86" s="45">
        <f>SUM(Table13[EXTENDED TOTAL3])</f>
        <v>688324</v>
      </c>
      <c r="J86" s="43"/>
    </row>
    <row r="87" spans="1:11" ht="15" thickBot="1" x14ac:dyDescent="0.4">
      <c r="A87" s="43"/>
      <c r="B87" s="68"/>
      <c r="C87" s="43"/>
      <c r="D87" s="67"/>
      <c r="E87" s="67"/>
      <c r="F87" s="67"/>
      <c r="G87" s="67"/>
      <c r="H87" s="67"/>
      <c r="I87" s="67"/>
      <c r="J87" s="43"/>
    </row>
    <row r="88" spans="1:11" ht="16" thickBot="1" x14ac:dyDescent="0.4">
      <c r="A88" s="245" t="s">
        <v>356</v>
      </c>
      <c r="B88" s="246"/>
      <c r="C88" s="246"/>
      <c r="D88" s="246"/>
      <c r="E88" s="247"/>
      <c r="F88" s="243" t="s">
        <v>75</v>
      </c>
      <c r="G88" s="244"/>
      <c r="H88" s="243" t="s">
        <v>76</v>
      </c>
      <c r="I88" s="244"/>
      <c r="J88" s="43"/>
    </row>
    <row r="89" spans="1:11" x14ac:dyDescent="0.35">
      <c r="A89" s="89" t="s">
        <v>62</v>
      </c>
      <c r="B89" s="84" t="s">
        <v>98</v>
      </c>
      <c r="C89" s="90" t="s">
        <v>0</v>
      </c>
      <c r="D89" s="90" t="s">
        <v>1</v>
      </c>
      <c r="E89" s="90" t="s">
        <v>64</v>
      </c>
      <c r="F89" s="90" t="s">
        <v>262</v>
      </c>
      <c r="G89" s="90" t="s">
        <v>94</v>
      </c>
      <c r="H89" s="90" t="s">
        <v>355</v>
      </c>
      <c r="I89" s="90" t="s">
        <v>357</v>
      </c>
      <c r="J89" s="43"/>
    </row>
    <row r="90" spans="1:11" x14ac:dyDescent="0.35">
      <c r="A90" s="57">
        <v>1</v>
      </c>
      <c r="B90" s="68" t="s">
        <v>110</v>
      </c>
      <c r="C90" s="67" t="s">
        <v>349</v>
      </c>
      <c r="D90" s="68" t="s">
        <v>8</v>
      </c>
      <c r="E90" s="68">
        <v>45900</v>
      </c>
      <c r="F90" s="91">
        <v>-1.5</v>
      </c>
      <c r="G90" s="91">
        <v>-68850</v>
      </c>
      <c r="H90" s="91">
        <v>-2</v>
      </c>
      <c r="I90" s="91">
        <v>-91800</v>
      </c>
      <c r="J90" s="43"/>
    </row>
    <row r="91" spans="1:11" x14ac:dyDescent="0.35">
      <c r="A91" s="57">
        <v>2</v>
      </c>
      <c r="B91" s="68" t="s">
        <v>290</v>
      </c>
      <c r="C91" s="67" t="s">
        <v>350</v>
      </c>
      <c r="D91" s="68" t="s">
        <v>3</v>
      </c>
      <c r="E91" s="68">
        <v>1</v>
      </c>
      <c r="F91" s="91">
        <v>-10000</v>
      </c>
      <c r="G91" s="91">
        <v>-10000</v>
      </c>
      <c r="H91" s="91">
        <v>-9500</v>
      </c>
      <c r="I91" s="91">
        <v>-9500</v>
      </c>
      <c r="J91" s="43"/>
    </row>
    <row r="92" spans="1:11" ht="15" thickBot="1" x14ac:dyDescent="0.4">
      <c r="A92" s="57">
        <v>3</v>
      </c>
      <c r="B92" s="68" t="s">
        <v>351</v>
      </c>
      <c r="C92" s="67" t="s">
        <v>352</v>
      </c>
      <c r="D92" s="68" t="s">
        <v>8</v>
      </c>
      <c r="E92" s="68">
        <v>45900</v>
      </c>
      <c r="F92" s="69">
        <v>5</v>
      </c>
      <c r="G92" s="69">
        <v>229500</v>
      </c>
      <c r="H92" s="69">
        <v>6.25</v>
      </c>
      <c r="I92" s="69">
        <v>286875</v>
      </c>
      <c r="J92" s="43"/>
    </row>
    <row r="93" spans="1:11" ht="16" thickBot="1" x14ac:dyDescent="0.4">
      <c r="A93" s="43"/>
      <c r="B93" s="43"/>
      <c r="C93" s="67"/>
      <c r="D93" s="67"/>
      <c r="E93" s="74" t="s">
        <v>162</v>
      </c>
      <c r="F93" s="88"/>
      <c r="G93" s="44">
        <f>SUM(Table14[EXTENDED TOTAL])</f>
        <v>150650</v>
      </c>
      <c r="H93" s="88"/>
      <c r="I93" s="45">
        <f>SUM(Table14[EXTENDED TOTAL3])</f>
        <v>185575</v>
      </c>
      <c r="J93" s="43"/>
    </row>
    <row r="94" spans="1:11" ht="15" thickBot="1" x14ac:dyDescent="0.4">
      <c r="A94" s="43"/>
      <c r="B94" s="68" t="s">
        <v>79</v>
      </c>
      <c r="C94" s="67"/>
      <c r="D94" s="67"/>
      <c r="E94" s="67"/>
      <c r="F94" s="67"/>
      <c r="G94" s="67"/>
      <c r="H94" s="67"/>
      <c r="I94" s="67"/>
      <c r="J94" s="43"/>
    </row>
    <row r="95" spans="1:11" ht="15.5" x14ac:dyDescent="0.35">
      <c r="A95" s="43"/>
      <c r="B95" s="43"/>
      <c r="C95" s="43"/>
      <c r="D95" s="43"/>
      <c r="E95" s="92" t="s">
        <v>96</v>
      </c>
      <c r="F95" s="93"/>
      <c r="G95" s="94">
        <f>SUM(Table12[EXTENDED TOTAL])</f>
        <v>2027912.25</v>
      </c>
      <c r="H95" s="94"/>
      <c r="I95" s="95">
        <f>SUM(Table12[EXTENDED TOTAL2])</f>
        <v>2293888.7999999998</v>
      </c>
      <c r="J95" s="43"/>
    </row>
    <row r="96" spans="1:11" ht="15.5" x14ac:dyDescent="0.35">
      <c r="A96" s="43"/>
      <c r="B96" s="43"/>
      <c r="C96" s="43"/>
      <c r="D96" s="43"/>
      <c r="E96" s="96" t="s">
        <v>358</v>
      </c>
      <c r="F96" s="97"/>
      <c r="G96" s="98">
        <f>SUM(G95,G86)</f>
        <v>2633542.25</v>
      </c>
      <c r="H96" s="98"/>
      <c r="I96" s="99">
        <f>SUM(I86,I63)</f>
        <v>2982212.8</v>
      </c>
      <c r="J96" s="67"/>
      <c r="K96" s="9"/>
    </row>
    <row r="97" spans="1:11" ht="16" thickBot="1" x14ac:dyDescent="0.4">
      <c r="A97" s="43"/>
      <c r="B97" s="43"/>
      <c r="C97" s="43"/>
      <c r="D97" s="43"/>
      <c r="E97" s="100" t="s">
        <v>359</v>
      </c>
      <c r="F97" s="101"/>
      <c r="G97" s="102">
        <f>SUM(G93,G96)</f>
        <v>2784192.25</v>
      </c>
      <c r="H97" s="102"/>
      <c r="I97" s="103">
        <f>SUM(I96,I93)</f>
        <v>3167787.8</v>
      </c>
      <c r="J97" s="67"/>
      <c r="K97" s="9"/>
    </row>
    <row r="98" spans="1:11" x14ac:dyDescent="0.35">
      <c r="A98" s="43"/>
      <c r="B98" s="68"/>
      <c r="C98" s="67"/>
      <c r="D98" s="68"/>
      <c r="E98" s="68"/>
      <c r="F98" s="67"/>
      <c r="G98" s="67"/>
      <c r="H98" s="67"/>
      <c r="I98" s="67"/>
      <c r="J98" s="67"/>
      <c r="K98" s="9"/>
    </row>
    <row r="99" spans="1:11" x14ac:dyDescent="0.35">
      <c r="A99" s="43"/>
      <c r="B99" s="68"/>
      <c r="C99" s="67"/>
      <c r="D99" s="68"/>
      <c r="E99" s="68"/>
      <c r="F99" s="67"/>
      <c r="G99" s="67"/>
      <c r="H99" s="67"/>
      <c r="I99" s="67"/>
      <c r="J99" s="67"/>
      <c r="K99" s="9"/>
    </row>
    <row r="100" spans="1:11" x14ac:dyDescent="0.35">
      <c r="A100" s="43"/>
      <c r="B100" s="68"/>
      <c r="C100" s="67"/>
      <c r="D100" s="68"/>
      <c r="E100" s="68"/>
      <c r="F100" s="67"/>
      <c r="G100" s="67"/>
      <c r="H100" s="67"/>
      <c r="I100" s="67"/>
      <c r="J100" s="67"/>
      <c r="K100" s="9"/>
    </row>
    <row r="101" spans="1:11" x14ac:dyDescent="0.35">
      <c r="A101" s="43"/>
      <c r="B101" s="68"/>
      <c r="C101" s="67"/>
      <c r="D101" s="68"/>
      <c r="E101" s="68"/>
      <c r="F101" s="67"/>
      <c r="G101" s="67"/>
      <c r="H101" s="67"/>
      <c r="I101" s="67"/>
      <c r="J101" s="67"/>
      <c r="K101" s="9"/>
    </row>
    <row r="102" spans="1:11" x14ac:dyDescent="0.35">
      <c r="A102" s="43"/>
      <c r="B102" s="68"/>
      <c r="C102" s="67"/>
      <c r="D102" s="68"/>
      <c r="E102" s="68"/>
      <c r="F102" s="67"/>
      <c r="G102" s="67"/>
      <c r="H102" s="67"/>
      <c r="I102" s="67"/>
      <c r="J102" s="67"/>
      <c r="K102" s="9"/>
    </row>
    <row r="103" spans="1:11" x14ac:dyDescent="0.35">
      <c r="B103" s="10"/>
      <c r="C103" s="9"/>
      <c r="D103" s="10"/>
      <c r="E103" s="10"/>
      <c r="F103" s="9"/>
      <c r="G103" s="9"/>
      <c r="H103" s="9"/>
      <c r="I103" s="9"/>
      <c r="J103" s="9"/>
      <c r="K103" s="9"/>
    </row>
    <row r="104" spans="1:11" x14ac:dyDescent="0.35">
      <c r="B104" s="10"/>
      <c r="C104" s="9"/>
      <c r="D104" s="10"/>
      <c r="E104" s="10"/>
      <c r="F104" s="9"/>
      <c r="G104" s="9"/>
      <c r="H104" s="9"/>
      <c r="I104" s="9"/>
      <c r="J104" s="9"/>
      <c r="K104" s="9"/>
    </row>
    <row r="105" spans="1:11" x14ac:dyDescent="0.35">
      <c r="B105" s="10"/>
      <c r="C105" s="9"/>
      <c r="D105" s="10"/>
      <c r="E105" s="10"/>
      <c r="F105" s="9"/>
      <c r="G105" s="9"/>
      <c r="H105" s="9"/>
      <c r="I105" s="9"/>
      <c r="J105" s="9"/>
      <c r="K105" s="9"/>
    </row>
    <row r="106" spans="1:11" x14ac:dyDescent="0.35">
      <c r="B106" s="10"/>
      <c r="C106" s="9"/>
      <c r="D106" s="10"/>
      <c r="E106" s="10"/>
      <c r="F106" s="9"/>
      <c r="G106" s="9"/>
      <c r="H106" s="9"/>
      <c r="I106" s="9"/>
    </row>
    <row r="107" spans="1:11" x14ac:dyDescent="0.35">
      <c r="B107" s="10"/>
      <c r="C107" s="9"/>
      <c r="D107" s="10"/>
      <c r="E107" s="10"/>
      <c r="F107" s="9"/>
      <c r="G107" s="9"/>
      <c r="H107" s="9"/>
      <c r="I107" s="9"/>
    </row>
    <row r="108" spans="1:11" x14ac:dyDescent="0.35">
      <c r="B108" s="13"/>
    </row>
  </sheetData>
  <mergeCells count="9">
    <mergeCell ref="F88:G88"/>
    <mergeCell ref="H88:I88"/>
    <mergeCell ref="A65:E65"/>
    <mergeCell ref="A88:E88"/>
    <mergeCell ref="A12:E12"/>
    <mergeCell ref="F12:G12"/>
    <mergeCell ref="H12:I12"/>
    <mergeCell ref="F65:G65"/>
    <mergeCell ref="H65:I65"/>
  </mergeCells>
  <pageMargins left="0.7" right="0.7" top="0.75" bottom="0.75" header="0.3" footer="0.3"/>
  <pageSetup orientation="portrait" verticalDpi="0" r:id="rId1"/>
  <drawing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3D479-F4C8-43C2-AE7E-7AD7FB3AD87C}">
  <dimension ref="A1:O167"/>
  <sheetViews>
    <sheetView zoomScale="90" zoomScaleNormal="90" workbookViewId="0"/>
  </sheetViews>
  <sheetFormatPr defaultRowHeight="14.5" x14ac:dyDescent="0.35"/>
  <cols>
    <col min="1" max="1" width="20.81640625" bestFit="1" customWidth="1"/>
    <col min="2" max="2" width="43.54296875" bestFit="1" customWidth="1"/>
    <col min="3" max="3" width="129.1796875" bestFit="1" customWidth="1"/>
    <col min="4" max="4" width="10" bestFit="1" customWidth="1"/>
    <col min="5" max="5" width="28.1796875" bestFit="1" customWidth="1"/>
    <col min="6" max="6" width="15.453125" bestFit="1" customWidth="1"/>
    <col min="7" max="7" width="20.81640625" bestFit="1" customWidth="1"/>
    <col min="8" max="8" width="16.453125" bestFit="1" customWidth="1"/>
    <col min="9" max="9" width="22" bestFit="1" customWidth="1"/>
    <col min="10" max="10" width="16.453125" bestFit="1" customWidth="1"/>
    <col min="11" max="11" width="22" bestFit="1" customWidth="1"/>
    <col min="12" max="12" width="16.453125" bestFit="1" customWidth="1"/>
    <col min="13" max="13" width="22" bestFit="1" customWidth="1"/>
  </cols>
  <sheetData>
    <row r="1" spans="1:15" x14ac:dyDescent="0.35">
      <c r="A1" s="43"/>
      <c r="B1" s="43"/>
      <c r="C1" s="43"/>
      <c r="D1" s="43"/>
      <c r="E1" s="43"/>
      <c r="F1" s="43"/>
      <c r="G1" s="43"/>
      <c r="H1" s="43"/>
      <c r="I1" s="43"/>
      <c r="J1" s="43"/>
      <c r="K1" s="43"/>
      <c r="L1" s="43"/>
      <c r="M1" s="43"/>
      <c r="N1" s="43"/>
      <c r="O1" s="43"/>
    </row>
    <row r="2" spans="1:15" x14ac:dyDescent="0.35">
      <c r="A2" s="43"/>
      <c r="B2" s="43"/>
      <c r="C2" s="43"/>
      <c r="D2" s="43"/>
      <c r="E2" s="43"/>
      <c r="F2" s="43"/>
      <c r="G2" s="43"/>
      <c r="H2" s="43"/>
      <c r="I2" s="43"/>
      <c r="J2" s="43"/>
      <c r="K2" s="43"/>
      <c r="L2" s="43"/>
      <c r="M2" s="43"/>
      <c r="N2" s="43"/>
      <c r="O2" s="43"/>
    </row>
    <row r="3" spans="1:15" ht="15.5" x14ac:dyDescent="0.35">
      <c r="A3" s="50" t="s">
        <v>65</v>
      </c>
      <c r="B3" s="43" t="s">
        <v>118</v>
      </c>
      <c r="C3" s="50"/>
      <c r="D3" s="43"/>
      <c r="E3" s="43"/>
      <c r="F3" s="43"/>
      <c r="G3" s="43"/>
      <c r="H3" s="43"/>
      <c r="I3" s="43"/>
      <c r="J3" s="43"/>
      <c r="K3" s="43"/>
      <c r="L3" s="43"/>
      <c r="M3" s="43"/>
      <c r="N3" s="43"/>
      <c r="O3" s="43"/>
    </row>
    <row r="4" spans="1:15" ht="15.5" x14ac:dyDescent="0.35">
      <c r="A4" s="50" t="s">
        <v>67</v>
      </c>
      <c r="B4" s="43" t="str">
        <f>VLOOKUP(B3,DATA!$A$2:$E$80,3)</f>
        <v>Columbia/Mount Pleasant</v>
      </c>
      <c r="C4" s="43"/>
      <c r="D4" s="43"/>
      <c r="E4" s="43"/>
      <c r="F4" s="43"/>
      <c r="G4" s="43"/>
      <c r="H4" s="43"/>
      <c r="I4" s="43"/>
      <c r="J4" s="43"/>
      <c r="K4" s="43"/>
      <c r="L4" s="43"/>
      <c r="M4" s="43"/>
      <c r="N4" s="43"/>
      <c r="O4" s="43"/>
    </row>
    <row r="5" spans="1:15" ht="15.5" x14ac:dyDescent="0.35">
      <c r="A5" s="50" t="s">
        <v>69</v>
      </c>
      <c r="B5" s="43" t="str">
        <f>VLOOKUP(B3,DATA!$A$2:$E$80,4)</f>
        <v>Maury County</v>
      </c>
      <c r="C5" s="43"/>
      <c r="D5" s="43"/>
      <c r="E5" s="43"/>
      <c r="F5" s="43"/>
      <c r="G5" s="43"/>
      <c r="H5" s="43"/>
      <c r="I5" s="43"/>
      <c r="J5" s="43"/>
      <c r="K5" s="43"/>
      <c r="L5" s="43"/>
      <c r="M5" s="43"/>
      <c r="N5" s="43"/>
      <c r="O5" s="43"/>
    </row>
    <row r="6" spans="1:15" ht="15.5" x14ac:dyDescent="0.35">
      <c r="A6" s="50" t="s">
        <v>70</v>
      </c>
      <c r="B6" s="43" t="s">
        <v>166</v>
      </c>
      <c r="C6" s="43"/>
      <c r="D6" s="43"/>
      <c r="E6" s="43"/>
      <c r="F6" s="43"/>
      <c r="G6" s="43"/>
      <c r="H6" s="43"/>
      <c r="I6" s="43"/>
      <c r="J6" s="43"/>
      <c r="K6" s="43"/>
      <c r="L6" s="43"/>
      <c r="M6" s="43"/>
      <c r="N6" s="43"/>
      <c r="O6" s="43"/>
    </row>
    <row r="7" spans="1:15" ht="15.5" x14ac:dyDescent="0.35">
      <c r="A7" s="50" t="s">
        <v>71</v>
      </c>
      <c r="B7" s="43" t="s">
        <v>747</v>
      </c>
      <c r="C7" s="43"/>
      <c r="D7" s="43"/>
      <c r="E7" s="43"/>
      <c r="F7" s="43"/>
      <c r="G7" s="43"/>
      <c r="H7" s="43"/>
      <c r="I7" s="43"/>
      <c r="J7" s="43"/>
      <c r="K7" s="43"/>
      <c r="L7" s="43"/>
      <c r="M7" s="43"/>
      <c r="N7" s="43"/>
      <c r="O7" s="43"/>
    </row>
    <row r="8" spans="1:15" ht="15.5" x14ac:dyDescent="0.35">
      <c r="A8" s="50" t="s">
        <v>72</v>
      </c>
      <c r="B8" s="51">
        <v>44678</v>
      </c>
      <c r="C8" s="50"/>
      <c r="D8" s="51"/>
      <c r="E8" s="43"/>
      <c r="F8" s="43"/>
      <c r="G8" s="43"/>
      <c r="H8" s="43"/>
      <c r="I8" s="43"/>
      <c r="J8" s="43"/>
      <c r="K8" s="43"/>
      <c r="L8" s="43"/>
      <c r="M8" s="43"/>
      <c r="N8" s="43"/>
      <c r="O8" s="43"/>
    </row>
    <row r="9" spans="1:15" ht="15.5" x14ac:dyDescent="0.35">
      <c r="A9" s="50" t="s">
        <v>66</v>
      </c>
      <c r="B9" s="43" t="str">
        <f>VLOOKUP(B3,DATA!$A$2:$E$80,2)</f>
        <v>Maury</v>
      </c>
      <c r="C9" s="50"/>
      <c r="D9" s="43"/>
      <c r="E9" s="43"/>
      <c r="F9" s="43"/>
      <c r="G9" s="43"/>
      <c r="H9" s="43"/>
      <c r="I9" s="43"/>
      <c r="J9" s="43"/>
      <c r="K9" s="43"/>
      <c r="L9" s="43"/>
      <c r="M9" s="43"/>
      <c r="N9" s="43"/>
      <c r="O9" s="43"/>
    </row>
    <row r="10" spans="1:15" ht="15.5" x14ac:dyDescent="0.35">
      <c r="A10" s="50" t="s">
        <v>68</v>
      </c>
      <c r="B10" s="43" t="str">
        <f>VLOOKUP(B3,DATA!$A$2:$E$80,5)</f>
        <v>Middle</v>
      </c>
      <c r="C10" s="50"/>
      <c r="D10" s="43"/>
      <c r="E10" s="43"/>
      <c r="F10" s="43"/>
      <c r="G10" s="43"/>
      <c r="H10" s="43"/>
      <c r="I10" s="43"/>
      <c r="J10" s="43"/>
      <c r="K10" s="43"/>
      <c r="L10" s="43"/>
      <c r="M10" s="43"/>
      <c r="N10" s="43"/>
      <c r="O10" s="43"/>
    </row>
    <row r="11" spans="1:15" ht="15" thickBot="1" x14ac:dyDescent="0.4">
      <c r="A11" s="43"/>
      <c r="B11" s="43"/>
      <c r="C11" s="43"/>
      <c r="D11" s="43"/>
      <c r="E11" s="43"/>
      <c r="F11" s="43"/>
      <c r="G11" s="43"/>
      <c r="H11" s="43"/>
      <c r="I11" s="43"/>
      <c r="J11" s="43"/>
      <c r="K11" s="43"/>
      <c r="L11" s="43"/>
      <c r="M11" s="43"/>
      <c r="N11" s="43"/>
      <c r="O11" s="43"/>
    </row>
    <row r="12" spans="1:15" ht="16" thickBot="1" x14ac:dyDescent="0.4">
      <c r="A12" s="234" t="s">
        <v>97</v>
      </c>
      <c r="B12" s="235"/>
      <c r="C12" s="235"/>
      <c r="D12" s="235"/>
      <c r="E12" s="236"/>
      <c r="F12" s="234" t="s">
        <v>75</v>
      </c>
      <c r="G12" s="236"/>
      <c r="H12" s="234" t="s">
        <v>119</v>
      </c>
      <c r="I12" s="236"/>
      <c r="J12" s="234" t="s">
        <v>120</v>
      </c>
      <c r="K12" s="236"/>
      <c r="L12" s="234" t="s">
        <v>121</v>
      </c>
      <c r="M12" s="236"/>
      <c r="N12" s="43"/>
      <c r="O12" s="43"/>
    </row>
    <row r="13" spans="1:15" x14ac:dyDescent="0.35">
      <c r="A13" s="15" t="s">
        <v>62</v>
      </c>
      <c r="B13" s="17" t="s">
        <v>98</v>
      </c>
      <c r="C13" s="17" t="s">
        <v>0</v>
      </c>
      <c r="D13" s="17" t="s">
        <v>1</v>
      </c>
      <c r="E13" s="17" t="s">
        <v>64</v>
      </c>
      <c r="F13" s="17" t="s">
        <v>262</v>
      </c>
      <c r="G13" s="17" t="s">
        <v>94</v>
      </c>
      <c r="H13" s="17" t="s">
        <v>355</v>
      </c>
      <c r="I13" s="17" t="s">
        <v>95</v>
      </c>
      <c r="J13" s="17" t="s">
        <v>458</v>
      </c>
      <c r="K13" s="17" t="s">
        <v>357</v>
      </c>
      <c r="L13" s="17" t="s">
        <v>420</v>
      </c>
      <c r="M13" s="17" t="s">
        <v>459</v>
      </c>
      <c r="N13" s="43"/>
      <c r="O13" s="43"/>
    </row>
    <row r="14" spans="1:15" x14ac:dyDescent="0.35">
      <c r="A14" s="12">
        <v>1</v>
      </c>
      <c r="B14" s="12" t="s">
        <v>2</v>
      </c>
      <c r="C14" s="7" t="s">
        <v>178</v>
      </c>
      <c r="D14" s="12" t="s">
        <v>3</v>
      </c>
      <c r="E14" s="12">
        <v>1</v>
      </c>
      <c r="F14" s="8">
        <v>40000</v>
      </c>
      <c r="G14" s="8">
        <v>40000</v>
      </c>
      <c r="H14" s="8">
        <v>50000</v>
      </c>
      <c r="I14" s="8">
        <v>50000</v>
      </c>
      <c r="J14" s="8">
        <v>76807.08</v>
      </c>
      <c r="K14" s="8">
        <v>76807.08</v>
      </c>
      <c r="L14" s="8">
        <v>83880</v>
      </c>
      <c r="M14" s="8">
        <v>83880</v>
      </c>
      <c r="N14" s="43"/>
      <c r="O14" s="43"/>
    </row>
    <row r="15" spans="1:15" x14ac:dyDescent="0.35">
      <c r="A15" s="12">
        <v>2</v>
      </c>
      <c r="B15" s="12" t="s">
        <v>4</v>
      </c>
      <c r="C15" s="7" t="s">
        <v>232</v>
      </c>
      <c r="D15" s="12" t="s">
        <v>3</v>
      </c>
      <c r="E15" s="12">
        <v>1</v>
      </c>
      <c r="F15" s="8">
        <v>40000</v>
      </c>
      <c r="G15" s="8">
        <v>40000</v>
      </c>
      <c r="H15" s="8">
        <v>100000</v>
      </c>
      <c r="I15" s="8">
        <v>100000</v>
      </c>
      <c r="J15" s="8">
        <v>159183.1</v>
      </c>
      <c r="K15" s="8">
        <v>159183.1</v>
      </c>
      <c r="L15" s="8">
        <v>66800</v>
      </c>
      <c r="M15" s="8">
        <v>66800</v>
      </c>
      <c r="N15" s="43"/>
      <c r="O15" s="43"/>
    </row>
    <row r="16" spans="1:15" x14ac:dyDescent="0.35">
      <c r="A16" s="12">
        <v>3</v>
      </c>
      <c r="B16" s="12" t="s">
        <v>5</v>
      </c>
      <c r="C16" s="7" t="s">
        <v>233</v>
      </c>
      <c r="D16" s="12" t="s">
        <v>6</v>
      </c>
      <c r="E16" s="12">
        <v>21</v>
      </c>
      <c r="F16" s="8">
        <v>20000</v>
      </c>
      <c r="G16" s="8">
        <v>420000</v>
      </c>
      <c r="H16" s="8">
        <v>11750</v>
      </c>
      <c r="I16" s="8">
        <v>246750</v>
      </c>
      <c r="J16" s="8">
        <v>22679.7</v>
      </c>
      <c r="K16" s="8">
        <v>476273.7</v>
      </c>
      <c r="L16" s="8">
        <v>25210</v>
      </c>
      <c r="M16" s="8">
        <v>529410</v>
      </c>
      <c r="N16" s="43"/>
      <c r="O16" s="43"/>
    </row>
    <row r="17" spans="1:15" x14ac:dyDescent="0.35">
      <c r="A17" s="12">
        <v>4</v>
      </c>
      <c r="B17" s="12" t="s">
        <v>99</v>
      </c>
      <c r="C17" s="7" t="s">
        <v>100</v>
      </c>
      <c r="D17" s="12" t="s">
        <v>3</v>
      </c>
      <c r="E17" s="12">
        <v>1</v>
      </c>
      <c r="F17" s="8">
        <v>40000</v>
      </c>
      <c r="G17" s="8">
        <v>40000</v>
      </c>
      <c r="H17" s="8">
        <v>275000</v>
      </c>
      <c r="I17" s="8">
        <v>275000</v>
      </c>
      <c r="J17" s="8">
        <v>56119.8</v>
      </c>
      <c r="K17" s="8">
        <v>56119.8</v>
      </c>
      <c r="L17" s="8">
        <v>76800</v>
      </c>
      <c r="M17" s="8">
        <v>76800</v>
      </c>
      <c r="N17" s="43"/>
      <c r="O17" s="43"/>
    </row>
    <row r="18" spans="1:15" x14ac:dyDescent="0.35">
      <c r="A18" s="12">
        <v>5</v>
      </c>
      <c r="B18" s="12" t="s">
        <v>20</v>
      </c>
      <c r="C18" s="7" t="s">
        <v>101</v>
      </c>
      <c r="D18" s="12" t="s">
        <v>3</v>
      </c>
      <c r="E18" s="12">
        <v>1</v>
      </c>
      <c r="F18" s="8">
        <v>200000</v>
      </c>
      <c r="G18" s="8">
        <v>200000</v>
      </c>
      <c r="H18" s="8">
        <v>115000</v>
      </c>
      <c r="I18" s="8">
        <v>115000</v>
      </c>
      <c r="J18" s="8">
        <v>169249.74</v>
      </c>
      <c r="K18" s="8">
        <v>169249.74</v>
      </c>
      <c r="L18" s="8">
        <v>450000</v>
      </c>
      <c r="M18" s="8">
        <v>450000</v>
      </c>
      <c r="N18" s="43"/>
      <c r="O18" s="43"/>
    </row>
    <row r="19" spans="1:15" x14ac:dyDescent="0.35">
      <c r="A19" s="12">
        <v>6</v>
      </c>
      <c r="B19" s="12" t="s">
        <v>28</v>
      </c>
      <c r="C19" s="7" t="s">
        <v>102</v>
      </c>
      <c r="D19" s="12" t="s">
        <v>3</v>
      </c>
      <c r="E19" s="12">
        <v>1</v>
      </c>
      <c r="F19" s="8">
        <v>500000</v>
      </c>
      <c r="G19" s="8">
        <v>500000</v>
      </c>
      <c r="H19" s="8">
        <v>500000</v>
      </c>
      <c r="I19" s="8">
        <v>500000</v>
      </c>
      <c r="J19" s="8">
        <v>688856.4</v>
      </c>
      <c r="K19" s="8">
        <v>688856.4</v>
      </c>
      <c r="L19" s="8">
        <v>529016</v>
      </c>
      <c r="M19" s="8">
        <v>529016</v>
      </c>
      <c r="N19" s="43"/>
      <c r="O19" s="43"/>
    </row>
    <row r="20" spans="1:15" x14ac:dyDescent="0.35">
      <c r="A20" s="12">
        <v>7</v>
      </c>
      <c r="B20" s="12" t="s">
        <v>29</v>
      </c>
      <c r="C20" s="7" t="s">
        <v>103</v>
      </c>
      <c r="D20" s="12" t="s">
        <v>21</v>
      </c>
      <c r="E20" s="12">
        <v>11113</v>
      </c>
      <c r="F20" s="8">
        <v>20</v>
      </c>
      <c r="G20" s="8">
        <v>222260</v>
      </c>
      <c r="H20" s="8">
        <v>24</v>
      </c>
      <c r="I20" s="8">
        <v>266712</v>
      </c>
      <c r="J20" s="8">
        <v>18.7</v>
      </c>
      <c r="K20" s="8">
        <v>207813.1</v>
      </c>
      <c r="L20" s="8">
        <v>20.5</v>
      </c>
      <c r="M20" s="8">
        <v>227816.5</v>
      </c>
      <c r="N20" s="43"/>
      <c r="O20" s="43"/>
    </row>
    <row r="21" spans="1:15" x14ac:dyDescent="0.35">
      <c r="A21" s="12">
        <v>8</v>
      </c>
      <c r="B21" s="12" t="s">
        <v>30</v>
      </c>
      <c r="C21" s="7" t="s">
        <v>104</v>
      </c>
      <c r="D21" s="12" t="s">
        <v>21</v>
      </c>
      <c r="E21" s="12">
        <v>3056</v>
      </c>
      <c r="F21" s="8">
        <v>20</v>
      </c>
      <c r="G21" s="8">
        <v>61120</v>
      </c>
      <c r="H21" s="8">
        <v>21</v>
      </c>
      <c r="I21" s="8">
        <v>64176</v>
      </c>
      <c r="J21" s="8">
        <v>15.4</v>
      </c>
      <c r="K21" s="8">
        <v>47062.400000000001</v>
      </c>
      <c r="L21" s="8">
        <v>16.5</v>
      </c>
      <c r="M21" s="8">
        <v>50424</v>
      </c>
      <c r="N21" s="43"/>
      <c r="O21" s="43"/>
    </row>
    <row r="22" spans="1:15" x14ac:dyDescent="0.35">
      <c r="A22" s="12">
        <v>9</v>
      </c>
      <c r="B22" s="12" t="s">
        <v>31</v>
      </c>
      <c r="C22" s="7" t="s">
        <v>105</v>
      </c>
      <c r="D22" s="12" t="s">
        <v>16</v>
      </c>
      <c r="E22" s="12">
        <v>24</v>
      </c>
      <c r="F22" s="8">
        <v>25000</v>
      </c>
      <c r="G22" s="8">
        <v>600000</v>
      </c>
      <c r="H22" s="8">
        <v>1420</v>
      </c>
      <c r="I22" s="8">
        <v>34080</v>
      </c>
      <c r="J22" s="8">
        <v>990</v>
      </c>
      <c r="K22" s="8">
        <v>23760</v>
      </c>
      <c r="L22" s="8">
        <v>994</v>
      </c>
      <c r="M22" s="8">
        <v>23856</v>
      </c>
      <c r="N22" s="43"/>
      <c r="O22" s="43"/>
    </row>
    <row r="23" spans="1:15" x14ac:dyDescent="0.35">
      <c r="A23" s="12">
        <v>10</v>
      </c>
      <c r="B23" s="12" t="s">
        <v>46</v>
      </c>
      <c r="C23" s="7" t="s">
        <v>106</v>
      </c>
      <c r="D23" s="12" t="s">
        <v>11</v>
      </c>
      <c r="E23" s="12">
        <v>16193</v>
      </c>
      <c r="F23" s="8">
        <v>15</v>
      </c>
      <c r="G23" s="8">
        <v>242895</v>
      </c>
      <c r="H23" s="8">
        <v>13.35</v>
      </c>
      <c r="I23" s="8">
        <v>216176.55</v>
      </c>
      <c r="J23" s="8">
        <v>29.72</v>
      </c>
      <c r="K23" s="8">
        <v>481255.96</v>
      </c>
      <c r="L23" s="8">
        <v>20.25</v>
      </c>
      <c r="M23" s="8">
        <v>327908.25</v>
      </c>
      <c r="N23" s="43"/>
      <c r="O23" s="43"/>
    </row>
    <row r="24" spans="1:15" x14ac:dyDescent="0.35">
      <c r="A24" s="12">
        <v>11</v>
      </c>
      <c r="B24" s="12" t="s">
        <v>47</v>
      </c>
      <c r="C24" s="7" t="s">
        <v>107</v>
      </c>
      <c r="D24" s="12" t="s">
        <v>11</v>
      </c>
      <c r="E24" s="12">
        <v>4048</v>
      </c>
      <c r="F24" s="8">
        <v>25</v>
      </c>
      <c r="G24" s="8">
        <v>101200</v>
      </c>
      <c r="H24" s="8">
        <v>26</v>
      </c>
      <c r="I24" s="8">
        <v>105248</v>
      </c>
      <c r="J24" s="8">
        <v>40.159999999999997</v>
      </c>
      <c r="K24" s="8">
        <v>162567.67999999999</v>
      </c>
      <c r="L24" s="8">
        <v>45</v>
      </c>
      <c r="M24" s="8">
        <v>182160</v>
      </c>
      <c r="N24" s="43"/>
      <c r="O24" s="43"/>
    </row>
    <row r="25" spans="1:15" x14ac:dyDescent="0.35">
      <c r="A25" s="12">
        <v>12</v>
      </c>
      <c r="B25" s="12" t="s">
        <v>49</v>
      </c>
      <c r="C25" s="7" t="s">
        <v>234</v>
      </c>
      <c r="D25" s="12" t="s">
        <v>8</v>
      </c>
      <c r="E25" s="12">
        <v>57350</v>
      </c>
      <c r="F25" s="8">
        <v>20</v>
      </c>
      <c r="G25" s="8">
        <v>1147000</v>
      </c>
      <c r="H25" s="8">
        <v>18</v>
      </c>
      <c r="I25" s="8">
        <v>1032300</v>
      </c>
      <c r="J25" s="8">
        <v>24.47</v>
      </c>
      <c r="K25" s="8">
        <v>1403354.5</v>
      </c>
      <c r="L25" s="8">
        <v>24</v>
      </c>
      <c r="M25" s="8">
        <v>1376400</v>
      </c>
      <c r="N25" s="43"/>
      <c r="O25" s="43"/>
    </row>
    <row r="26" spans="1:15" x14ac:dyDescent="0.35">
      <c r="A26" s="12">
        <v>13</v>
      </c>
      <c r="B26" s="12" t="s">
        <v>108</v>
      </c>
      <c r="C26" s="7" t="s">
        <v>235</v>
      </c>
      <c r="D26" s="12" t="s">
        <v>11</v>
      </c>
      <c r="E26" s="12">
        <v>1541</v>
      </c>
      <c r="F26" s="8">
        <v>15</v>
      </c>
      <c r="G26" s="8">
        <v>23115</v>
      </c>
      <c r="H26" s="8">
        <v>26</v>
      </c>
      <c r="I26" s="8">
        <v>40066</v>
      </c>
      <c r="J26" s="8">
        <v>24.78</v>
      </c>
      <c r="K26" s="8">
        <v>38185.980000000003</v>
      </c>
      <c r="L26" s="8">
        <v>8.25</v>
      </c>
      <c r="M26" s="8">
        <v>12713.25</v>
      </c>
      <c r="N26" s="43"/>
      <c r="O26" s="43"/>
    </row>
    <row r="27" spans="1:15" x14ac:dyDescent="0.35">
      <c r="A27" s="12">
        <v>14</v>
      </c>
      <c r="B27" s="12" t="s">
        <v>50</v>
      </c>
      <c r="C27" s="7" t="s">
        <v>109</v>
      </c>
      <c r="D27" s="12" t="s">
        <v>51</v>
      </c>
      <c r="E27" s="12">
        <v>12936</v>
      </c>
      <c r="F27" s="8">
        <v>135</v>
      </c>
      <c r="G27" s="8">
        <v>1746360</v>
      </c>
      <c r="H27" s="8">
        <v>155</v>
      </c>
      <c r="I27" s="8">
        <v>2005080</v>
      </c>
      <c r="J27" s="8">
        <v>129.83000000000001</v>
      </c>
      <c r="K27" s="8">
        <v>1679480.88</v>
      </c>
      <c r="L27" s="8">
        <v>148.5</v>
      </c>
      <c r="M27" s="8">
        <v>1920996</v>
      </c>
      <c r="N27" s="43"/>
      <c r="O27" s="43"/>
    </row>
    <row r="28" spans="1:15" x14ac:dyDescent="0.35">
      <c r="A28" s="12">
        <v>15</v>
      </c>
      <c r="B28" s="12" t="s">
        <v>110</v>
      </c>
      <c r="C28" s="7" t="s">
        <v>111</v>
      </c>
      <c r="D28" s="12" t="s">
        <v>8</v>
      </c>
      <c r="E28" s="12">
        <v>57350</v>
      </c>
      <c r="F28" s="8">
        <v>2</v>
      </c>
      <c r="G28" s="8">
        <v>114700</v>
      </c>
      <c r="H28" s="8">
        <v>2.2000000000000002</v>
      </c>
      <c r="I28" s="8">
        <v>126170</v>
      </c>
      <c r="J28" s="8">
        <v>2.15</v>
      </c>
      <c r="K28" s="8">
        <v>123302.5</v>
      </c>
      <c r="L28" s="8">
        <v>1.95</v>
      </c>
      <c r="M28" s="8">
        <v>111832.5</v>
      </c>
      <c r="N28" s="43"/>
      <c r="O28" s="43"/>
    </row>
    <row r="29" spans="1:15" x14ac:dyDescent="0.35">
      <c r="A29" s="12">
        <v>16</v>
      </c>
      <c r="B29" s="12" t="s">
        <v>52</v>
      </c>
      <c r="C29" s="7" t="s">
        <v>112</v>
      </c>
      <c r="D29" s="12" t="s">
        <v>53</v>
      </c>
      <c r="E29" s="12">
        <v>28675</v>
      </c>
      <c r="F29" s="8">
        <v>5</v>
      </c>
      <c r="G29" s="8">
        <v>143375</v>
      </c>
      <c r="H29" s="8">
        <v>5.75</v>
      </c>
      <c r="I29" s="8">
        <v>164881.25</v>
      </c>
      <c r="J29" s="8">
        <v>4.8099999999999996</v>
      </c>
      <c r="K29" s="8">
        <v>137926.75</v>
      </c>
      <c r="L29" s="8">
        <v>5.5</v>
      </c>
      <c r="M29" s="8">
        <v>157712.5</v>
      </c>
      <c r="N29" s="43"/>
      <c r="O29" s="43"/>
    </row>
    <row r="30" spans="1:15" x14ac:dyDescent="0.35">
      <c r="A30" s="12">
        <v>17</v>
      </c>
      <c r="B30" s="12" t="s">
        <v>54</v>
      </c>
      <c r="C30" s="7" t="s">
        <v>113</v>
      </c>
      <c r="D30" s="12" t="s">
        <v>8</v>
      </c>
      <c r="E30" s="12">
        <v>57350</v>
      </c>
      <c r="F30" s="8">
        <v>2</v>
      </c>
      <c r="G30" s="8">
        <v>114700</v>
      </c>
      <c r="H30" s="8">
        <v>1.1000000000000001</v>
      </c>
      <c r="I30" s="8">
        <v>63085</v>
      </c>
      <c r="J30" s="8">
        <v>0.89</v>
      </c>
      <c r="K30" s="8">
        <v>51041.5</v>
      </c>
      <c r="L30" s="8">
        <v>1</v>
      </c>
      <c r="M30" s="8">
        <v>57350</v>
      </c>
      <c r="N30" s="43"/>
      <c r="O30" s="43"/>
    </row>
    <row r="31" spans="1:15" x14ac:dyDescent="0.35">
      <c r="A31" s="12">
        <v>18</v>
      </c>
      <c r="B31" s="12" t="s">
        <v>55</v>
      </c>
      <c r="C31" s="7" t="s">
        <v>114</v>
      </c>
      <c r="D31" s="12" t="s">
        <v>8</v>
      </c>
      <c r="E31" s="12">
        <v>57350</v>
      </c>
      <c r="F31" s="8">
        <v>2</v>
      </c>
      <c r="G31" s="8">
        <v>114700</v>
      </c>
      <c r="H31" s="8">
        <v>0.95</v>
      </c>
      <c r="I31" s="8">
        <v>54482.5</v>
      </c>
      <c r="J31" s="8">
        <v>0.8</v>
      </c>
      <c r="K31" s="8">
        <v>45880</v>
      </c>
      <c r="L31" s="8">
        <v>0.9</v>
      </c>
      <c r="M31" s="8">
        <v>51615</v>
      </c>
      <c r="N31" s="43"/>
      <c r="O31" s="43"/>
    </row>
    <row r="32" spans="1:15" x14ac:dyDescent="0.35">
      <c r="A32" s="12">
        <v>19</v>
      </c>
      <c r="B32" s="12" t="s">
        <v>56</v>
      </c>
      <c r="C32" s="7" t="s">
        <v>236</v>
      </c>
      <c r="D32" s="12" t="s">
        <v>57</v>
      </c>
      <c r="E32" s="12">
        <v>35927</v>
      </c>
      <c r="F32" s="8">
        <v>2</v>
      </c>
      <c r="G32" s="8">
        <v>71854</v>
      </c>
      <c r="H32" s="8">
        <v>1.1499999999999999</v>
      </c>
      <c r="I32" s="8">
        <v>41316.050000000003</v>
      </c>
      <c r="J32" s="8">
        <v>1.08</v>
      </c>
      <c r="K32" s="8">
        <v>38801.160000000003</v>
      </c>
      <c r="L32" s="8">
        <v>1.05</v>
      </c>
      <c r="M32" s="8">
        <v>37723.35</v>
      </c>
      <c r="N32" s="43"/>
      <c r="O32" s="43"/>
    </row>
    <row r="33" spans="1:15" x14ac:dyDescent="0.35">
      <c r="A33" s="12">
        <v>20</v>
      </c>
      <c r="B33" s="12" t="s">
        <v>58</v>
      </c>
      <c r="C33" s="7" t="s">
        <v>237</v>
      </c>
      <c r="D33" s="12" t="s">
        <v>57</v>
      </c>
      <c r="E33" s="12">
        <v>1999</v>
      </c>
      <c r="F33" s="8">
        <v>2</v>
      </c>
      <c r="G33" s="8">
        <v>3998</v>
      </c>
      <c r="H33" s="8">
        <v>1.7</v>
      </c>
      <c r="I33" s="8">
        <v>3398.3</v>
      </c>
      <c r="J33" s="8">
        <v>1.61</v>
      </c>
      <c r="K33" s="8">
        <v>3218.39</v>
      </c>
      <c r="L33" s="8">
        <v>1.05</v>
      </c>
      <c r="M33" s="8">
        <v>2098.9499999999998</v>
      </c>
      <c r="N33" s="43"/>
      <c r="O33" s="43"/>
    </row>
    <row r="34" spans="1:15" x14ac:dyDescent="0.35">
      <c r="A34" s="12">
        <v>21</v>
      </c>
      <c r="B34" s="12" t="s">
        <v>115</v>
      </c>
      <c r="C34" s="7" t="s">
        <v>116</v>
      </c>
      <c r="D34" s="12" t="s">
        <v>57</v>
      </c>
      <c r="E34" s="12">
        <v>206</v>
      </c>
      <c r="F34" s="8">
        <v>2</v>
      </c>
      <c r="G34" s="8">
        <v>412</v>
      </c>
      <c r="H34" s="8">
        <v>5.75</v>
      </c>
      <c r="I34" s="8">
        <v>1184.5</v>
      </c>
      <c r="J34" s="8">
        <v>5.5</v>
      </c>
      <c r="K34" s="8">
        <v>1133</v>
      </c>
      <c r="L34" s="8">
        <v>1.1499999999999999</v>
      </c>
      <c r="M34" s="8">
        <v>236.9</v>
      </c>
      <c r="N34" s="43"/>
      <c r="O34" s="43"/>
    </row>
    <row r="35" spans="1:15" x14ac:dyDescent="0.35">
      <c r="A35" s="12">
        <v>22</v>
      </c>
      <c r="B35" s="12" t="s">
        <v>59</v>
      </c>
      <c r="C35" s="7" t="s">
        <v>221</v>
      </c>
      <c r="D35" s="12" t="s">
        <v>6</v>
      </c>
      <c r="E35" s="12">
        <v>20.5</v>
      </c>
      <c r="F35" s="8">
        <v>4500</v>
      </c>
      <c r="G35" s="8">
        <v>92250</v>
      </c>
      <c r="H35" s="8">
        <v>4800</v>
      </c>
      <c r="I35" s="8">
        <v>98400</v>
      </c>
      <c r="J35" s="8">
        <v>4097.5</v>
      </c>
      <c r="K35" s="8">
        <v>83998.75</v>
      </c>
      <c r="L35" s="8">
        <v>4970</v>
      </c>
      <c r="M35" s="8">
        <v>101885</v>
      </c>
      <c r="N35" s="43"/>
      <c r="O35" s="43"/>
    </row>
    <row r="36" spans="1:15" ht="15" thickBot="1" x14ac:dyDescent="0.4">
      <c r="A36" s="12">
        <v>23</v>
      </c>
      <c r="B36" s="12" t="s">
        <v>60</v>
      </c>
      <c r="C36" s="7" t="s">
        <v>117</v>
      </c>
      <c r="D36" s="12" t="s">
        <v>8</v>
      </c>
      <c r="E36" s="12">
        <v>12314</v>
      </c>
      <c r="F36" s="8">
        <v>8</v>
      </c>
      <c r="G36" s="8">
        <v>98512</v>
      </c>
      <c r="H36" s="8">
        <v>9.25</v>
      </c>
      <c r="I36" s="8">
        <v>113904.5</v>
      </c>
      <c r="J36" s="8">
        <v>7.1</v>
      </c>
      <c r="K36" s="8">
        <v>87429.4</v>
      </c>
      <c r="L36" s="8">
        <v>6.75</v>
      </c>
      <c r="M36" s="8">
        <v>83119.5</v>
      </c>
      <c r="N36" s="43" t="str">
        <f t="shared" ref="N36" si="0">PROPER(C37)</f>
        <v/>
      </c>
      <c r="O36" s="43"/>
    </row>
    <row r="37" spans="1:15" ht="16" thickBot="1" x14ac:dyDescent="0.4">
      <c r="A37" s="43"/>
      <c r="B37" s="43"/>
      <c r="C37" s="43"/>
      <c r="D37" s="43"/>
      <c r="E37" s="55" t="s">
        <v>164</v>
      </c>
      <c r="F37" s="25"/>
      <c r="G37" s="25">
        <f>SUM(Table37[EXTENDED TOTAL])</f>
        <v>6138451</v>
      </c>
      <c r="H37" s="25"/>
      <c r="I37" s="25">
        <f>SUM(Table37[EXTENDED TOTAL2])</f>
        <v>5717410.6499999994</v>
      </c>
      <c r="J37" s="25"/>
      <c r="K37" s="25">
        <f>SUM(Table37[EXTENDED TOTAL3])</f>
        <v>6242701.7700000005</v>
      </c>
      <c r="L37" s="25"/>
      <c r="M37" s="26">
        <f>SUM(Table37[EXTENDED TOTAL4])</f>
        <v>6461753.7000000002</v>
      </c>
      <c r="N37" s="43"/>
      <c r="O37" s="43"/>
    </row>
    <row r="38" spans="1:15" ht="15" thickBot="1" x14ac:dyDescent="0.4">
      <c r="A38" s="83"/>
      <c r="B38" s="83"/>
      <c r="C38" s="83"/>
      <c r="D38" s="83"/>
      <c r="E38" s="83"/>
      <c r="F38" s="83"/>
      <c r="G38" s="83"/>
      <c r="H38" s="83"/>
      <c r="I38" s="83"/>
      <c r="J38" s="83"/>
      <c r="K38" s="83"/>
      <c r="L38" s="83"/>
      <c r="M38" s="83"/>
      <c r="N38" s="43"/>
      <c r="O38" s="43"/>
    </row>
    <row r="39" spans="1:15" ht="16" thickBot="1" x14ac:dyDescent="0.4">
      <c r="A39" s="234" t="s">
        <v>454</v>
      </c>
      <c r="B39" s="235"/>
      <c r="C39" s="235"/>
      <c r="D39" s="235"/>
      <c r="E39" s="236"/>
      <c r="F39" s="234" t="s">
        <v>75</v>
      </c>
      <c r="G39" s="236"/>
      <c r="H39" s="234" t="s">
        <v>119</v>
      </c>
      <c r="I39" s="236"/>
      <c r="J39" s="234" t="s">
        <v>120</v>
      </c>
      <c r="K39" s="236"/>
      <c r="L39" s="234" t="s">
        <v>121</v>
      </c>
      <c r="M39" s="236"/>
      <c r="N39" s="43"/>
      <c r="O39" s="43"/>
    </row>
    <row r="40" spans="1:15" x14ac:dyDescent="0.35">
      <c r="A40" s="12" t="s">
        <v>62</v>
      </c>
      <c r="B40" s="12" t="s">
        <v>98</v>
      </c>
      <c r="C40" s="12" t="s">
        <v>0</v>
      </c>
      <c r="D40" s="12" t="s">
        <v>1</v>
      </c>
      <c r="E40" s="12" t="s">
        <v>64</v>
      </c>
      <c r="F40" s="12" t="s">
        <v>262</v>
      </c>
      <c r="G40" s="12" t="s">
        <v>94</v>
      </c>
      <c r="H40" s="12" t="s">
        <v>355</v>
      </c>
      <c r="I40" s="12" t="s">
        <v>357</v>
      </c>
      <c r="J40" s="12" t="s">
        <v>420</v>
      </c>
      <c r="K40" s="12" t="s">
        <v>421</v>
      </c>
      <c r="L40" s="12" t="s">
        <v>422</v>
      </c>
      <c r="M40" s="12" t="s">
        <v>423</v>
      </c>
      <c r="N40" s="43"/>
      <c r="O40" s="43"/>
    </row>
    <row r="41" spans="1:15" x14ac:dyDescent="0.35">
      <c r="A41" s="12">
        <v>1</v>
      </c>
      <c r="B41" s="12" t="s">
        <v>2</v>
      </c>
      <c r="C41" s="7" t="s">
        <v>178</v>
      </c>
      <c r="D41" s="12" t="s">
        <v>3</v>
      </c>
      <c r="E41" s="12">
        <v>1</v>
      </c>
      <c r="F41" s="8">
        <v>10000</v>
      </c>
      <c r="G41" s="8">
        <v>10000</v>
      </c>
      <c r="H41" s="8">
        <v>15000</v>
      </c>
      <c r="I41" s="8">
        <v>15000</v>
      </c>
      <c r="J41" s="8">
        <v>75602.36</v>
      </c>
      <c r="K41" s="8">
        <v>75602.36</v>
      </c>
      <c r="L41" s="8">
        <v>19120</v>
      </c>
      <c r="M41" s="8">
        <v>19120</v>
      </c>
      <c r="N41" s="43"/>
      <c r="O41" s="43"/>
    </row>
    <row r="42" spans="1:15" x14ac:dyDescent="0.35">
      <c r="A42" s="12">
        <v>2</v>
      </c>
      <c r="B42" s="12" t="s">
        <v>4</v>
      </c>
      <c r="C42" s="7" t="s">
        <v>232</v>
      </c>
      <c r="D42" s="12" t="s">
        <v>3</v>
      </c>
      <c r="E42" s="12">
        <v>1</v>
      </c>
      <c r="F42" s="8">
        <v>10000</v>
      </c>
      <c r="G42" s="8">
        <v>10000</v>
      </c>
      <c r="H42" s="8">
        <v>20000</v>
      </c>
      <c r="I42" s="8">
        <v>20000</v>
      </c>
      <c r="J42" s="8">
        <v>103061.85</v>
      </c>
      <c r="K42" s="8">
        <v>103061.85</v>
      </c>
      <c r="L42" s="8">
        <v>8631</v>
      </c>
      <c r="M42" s="8">
        <v>8631</v>
      </c>
      <c r="N42" s="43"/>
      <c r="O42" s="43"/>
    </row>
    <row r="43" spans="1:15" x14ac:dyDescent="0.35">
      <c r="A43" s="12">
        <v>3</v>
      </c>
      <c r="B43" s="12" t="s">
        <v>99</v>
      </c>
      <c r="C43" s="7" t="s">
        <v>100</v>
      </c>
      <c r="D43" s="12" t="s">
        <v>3</v>
      </c>
      <c r="E43" s="12">
        <v>1</v>
      </c>
      <c r="F43" s="8">
        <v>10000</v>
      </c>
      <c r="G43" s="8">
        <v>10000</v>
      </c>
      <c r="H43" s="8">
        <v>94000</v>
      </c>
      <c r="I43" s="8">
        <v>94000</v>
      </c>
      <c r="J43" s="8">
        <v>68700</v>
      </c>
      <c r="K43" s="8">
        <v>68700</v>
      </c>
      <c r="L43" s="8">
        <v>8229</v>
      </c>
      <c r="M43" s="8">
        <v>8229</v>
      </c>
      <c r="N43" s="43"/>
      <c r="O43" s="43"/>
    </row>
    <row r="44" spans="1:15" x14ac:dyDescent="0.35">
      <c r="A44" s="12">
        <v>4</v>
      </c>
      <c r="B44" s="12" t="s">
        <v>28</v>
      </c>
      <c r="C44" s="7" t="s">
        <v>102</v>
      </c>
      <c r="D44" s="12" t="s">
        <v>3</v>
      </c>
      <c r="E44" s="12">
        <v>1</v>
      </c>
      <c r="F44" s="8">
        <v>100000</v>
      </c>
      <c r="G44" s="8">
        <v>100000</v>
      </c>
      <c r="H44" s="8">
        <v>125000</v>
      </c>
      <c r="I44" s="8">
        <v>125000</v>
      </c>
      <c r="J44" s="8">
        <v>179620</v>
      </c>
      <c r="K44" s="8">
        <v>179620</v>
      </c>
      <c r="L44" s="8">
        <v>120900</v>
      </c>
      <c r="M44" s="8">
        <v>120900</v>
      </c>
      <c r="N44" s="43"/>
      <c r="O44" s="43"/>
    </row>
    <row r="45" spans="1:15" x14ac:dyDescent="0.35">
      <c r="A45" s="12">
        <v>5</v>
      </c>
      <c r="B45" s="12" t="s">
        <v>49</v>
      </c>
      <c r="C45" s="7" t="s">
        <v>234</v>
      </c>
      <c r="D45" s="12" t="s">
        <v>8</v>
      </c>
      <c r="E45" s="12">
        <v>17029</v>
      </c>
      <c r="F45" s="8">
        <v>20</v>
      </c>
      <c r="G45" s="8">
        <v>340580</v>
      </c>
      <c r="H45" s="8">
        <v>18</v>
      </c>
      <c r="I45" s="8">
        <v>306522</v>
      </c>
      <c r="J45" s="8">
        <v>24.48</v>
      </c>
      <c r="K45" s="8">
        <v>416869.92</v>
      </c>
      <c r="L45" s="8">
        <v>24</v>
      </c>
      <c r="M45" s="8">
        <v>408696</v>
      </c>
      <c r="N45" s="43"/>
      <c r="O45" s="43"/>
    </row>
    <row r="46" spans="1:15" x14ac:dyDescent="0.35">
      <c r="A46" s="12">
        <v>6</v>
      </c>
      <c r="B46" s="12" t="s">
        <v>50</v>
      </c>
      <c r="C46" s="7" t="s">
        <v>109</v>
      </c>
      <c r="D46" s="12" t="s">
        <v>51</v>
      </c>
      <c r="E46" s="12">
        <v>3841</v>
      </c>
      <c r="F46" s="8">
        <v>135</v>
      </c>
      <c r="G46" s="8">
        <v>518535</v>
      </c>
      <c r="H46" s="8">
        <v>155</v>
      </c>
      <c r="I46" s="8">
        <v>595355</v>
      </c>
      <c r="J46" s="8">
        <v>129.83000000000001</v>
      </c>
      <c r="K46" s="8">
        <v>498677.03</v>
      </c>
      <c r="L46" s="8">
        <v>148.5</v>
      </c>
      <c r="M46" s="8">
        <v>570388.5</v>
      </c>
      <c r="N46" s="43"/>
      <c r="O46" s="43"/>
    </row>
    <row r="47" spans="1:15" x14ac:dyDescent="0.35">
      <c r="A47" s="12">
        <v>7</v>
      </c>
      <c r="B47" s="12" t="s">
        <v>110</v>
      </c>
      <c r="C47" s="7" t="s">
        <v>111</v>
      </c>
      <c r="D47" s="12" t="s">
        <v>8</v>
      </c>
      <c r="E47" s="12">
        <v>17029</v>
      </c>
      <c r="F47" s="8">
        <v>2</v>
      </c>
      <c r="G47" s="8">
        <v>34058</v>
      </c>
      <c r="H47" s="8">
        <v>2.2000000000000002</v>
      </c>
      <c r="I47" s="8">
        <v>37463.800000000003</v>
      </c>
      <c r="J47" s="8">
        <v>2.15</v>
      </c>
      <c r="K47" s="8">
        <v>36612.35</v>
      </c>
      <c r="L47" s="8">
        <v>1.95</v>
      </c>
      <c r="M47" s="8">
        <v>33206.550000000003</v>
      </c>
      <c r="N47" s="43"/>
      <c r="O47" s="43"/>
    </row>
    <row r="48" spans="1:15" x14ac:dyDescent="0.35">
      <c r="A48" s="12">
        <v>8</v>
      </c>
      <c r="B48" s="12" t="s">
        <v>52</v>
      </c>
      <c r="C48" s="7" t="s">
        <v>112</v>
      </c>
      <c r="D48" s="12" t="s">
        <v>53</v>
      </c>
      <c r="E48" s="12">
        <v>8514</v>
      </c>
      <c r="F48" s="8">
        <v>5</v>
      </c>
      <c r="G48" s="8">
        <v>42570</v>
      </c>
      <c r="H48" s="8">
        <v>5.75</v>
      </c>
      <c r="I48" s="8">
        <v>48955.5</v>
      </c>
      <c r="J48" s="8">
        <v>4.8099999999999996</v>
      </c>
      <c r="K48" s="8">
        <v>40952.339999999997</v>
      </c>
      <c r="L48" s="8">
        <v>5.5</v>
      </c>
      <c r="M48" s="8">
        <v>46827</v>
      </c>
      <c r="N48" s="43"/>
      <c r="O48" s="43"/>
    </row>
    <row r="49" spans="1:15" x14ac:dyDescent="0.35">
      <c r="A49" s="12">
        <v>9</v>
      </c>
      <c r="B49" s="12" t="s">
        <v>54</v>
      </c>
      <c r="C49" s="7" t="s">
        <v>113</v>
      </c>
      <c r="D49" s="12" t="s">
        <v>8</v>
      </c>
      <c r="E49" s="12">
        <v>17029</v>
      </c>
      <c r="F49" s="8">
        <v>2</v>
      </c>
      <c r="G49" s="8">
        <v>34058</v>
      </c>
      <c r="H49" s="8">
        <v>1.1000000000000001</v>
      </c>
      <c r="I49" s="8">
        <v>18731.900000000001</v>
      </c>
      <c r="J49" s="8">
        <v>0.93</v>
      </c>
      <c r="K49" s="8">
        <v>15836.97</v>
      </c>
      <c r="L49" s="8">
        <v>1.05</v>
      </c>
      <c r="M49" s="8">
        <v>17880.45</v>
      </c>
      <c r="N49" s="43"/>
      <c r="O49" s="43"/>
    </row>
    <row r="50" spans="1:15" ht="15" thickBot="1" x14ac:dyDescent="0.4">
      <c r="A50" s="12">
        <v>10</v>
      </c>
      <c r="B50" s="12" t="s">
        <v>55</v>
      </c>
      <c r="C50" s="7" t="s">
        <v>114</v>
      </c>
      <c r="D50" s="12" t="s">
        <v>8</v>
      </c>
      <c r="E50" s="12">
        <v>17029</v>
      </c>
      <c r="F50" s="8">
        <v>2</v>
      </c>
      <c r="G50" s="8">
        <v>34058</v>
      </c>
      <c r="H50" s="8">
        <v>1</v>
      </c>
      <c r="I50" s="8">
        <v>17029</v>
      </c>
      <c r="J50" s="8">
        <v>0.83</v>
      </c>
      <c r="K50" s="8">
        <v>14134.07</v>
      </c>
      <c r="L50" s="8">
        <v>0.95</v>
      </c>
      <c r="M50" s="8">
        <v>16177.55</v>
      </c>
      <c r="N50" s="43"/>
      <c r="O50" s="43"/>
    </row>
    <row r="51" spans="1:15" ht="16" thickBot="1" x14ac:dyDescent="0.4">
      <c r="A51" s="7"/>
      <c r="B51" s="7"/>
      <c r="C51" s="7"/>
      <c r="D51" s="7"/>
      <c r="E51" s="39" t="s">
        <v>163</v>
      </c>
      <c r="F51" s="86"/>
      <c r="G51" s="25">
        <f>SUM(Table58[EXTENDED TOTAL])</f>
        <v>1133859</v>
      </c>
      <c r="H51" s="27"/>
      <c r="I51" s="25">
        <f>SUM(Table58[EXTENDED TOTAL3])</f>
        <v>1278057.2</v>
      </c>
      <c r="J51" s="27"/>
      <c r="K51" s="25">
        <f>SUM(Table58[EXTENDED TOTAL5])</f>
        <v>1450066.8900000004</v>
      </c>
      <c r="L51" s="27"/>
      <c r="M51" s="26">
        <f>SUM(Table58[EXTENDED TOTAL7])</f>
        <v>1250056.05</v>
      </c>
      <c r="N51" s="43"/>
      <c r="O51" s="43"/>
    </row>
    <row r="52" spans="1:15" ht="15" thickBot="1" x14ac:dyDescent="0.4">
      <c r="A52" s="83"/>
      <c r="B52" s="83"/>
      <c r="C52" s="83"/>
      <c r="D52" s="83"/>
      <c r="E52" s="83"/>
      <c r="F52" s="83"/>
      <c r="G52" s="83"/>
      <c r="H52" s="83"/>
      <c r="I52" s="83"/>
      <c r="J52" s="83"/>
      <c r="K52" s="83"/>
      <c r="L52" s="83"/>
      <c r="M52" s="83"/>
      <c r="N52" s="43"/>
      <c r="O52" s="43"/>
    </row>
    <row r="53" spans="1:15" ht="16" thickBot="1" x14ac:dyDescent="0.4">
      <c r="A53" s="234" t="s">
        <v>455</v>
      </c>
      <c r="B53" s="235"/>
      <c r="C53" s="235"/>
      <c r="D53" s="235"/>
      <c r="E53" s="236"/>
      <c r="F53" s="234" t="s">
        <v>75</v>
      </c>
      <c r="G53" s="236"/>
      <c r="H53" s="234" t="s">
        <v>119</v>
      </c>
      <c r="I53" s="236"/>
      <c r="J53" s="234" t="s">
        <v>120</v>
      </c>
      <c r="K53" s="236"/>
      <c r="L53" s="235" t="s">
        <v>121</v>
      </c>
      <c r="M53" s="236"/>
      <c r="N53" s="43"/>
      <c r="O53" s="43"/>
    </row>
    <row r="54" spans="1:15" x14ac:dyDescent="0.35">
      <c r="A54" s="12" t="s">
        <v>62</v>
      </c>
      <c r="B54" s="12" t="s">
        <v>98</v>
      </c>
      <c r="C54" s="12" t="s">
        <v>0</v>
      </c>
      <c r="D54" s="12" t="s">
        <v>1</v>
      </c>
      <c r="E54" s="12" t="s">
        <v>156</v>
      </c>
      <c r="F54" s="12" t="s">
        <v>262</v>
      </c>
      <c r="G54" s="12" t="s">
        <v>94</v>
      </c>
      <c r="H54" s="12" t="s">
        <v>355</v>
      </c>
      <c r="I54" s="12" t="s">
        <v>357</v>
      </c>
      <c r="J54" s="12" t="s">
        <v>420</v>
      </c>
      <c r="K54" s="12" t="s">
        <v>421</v>
      </c>
      <c r="L54" s="12" t="s">
        <v>422</v>
      </c>
      <c r="M54" s="12" t="s">
        <v>423</v>
      </c>
      <c r="N54" s="43"/>
      <c r="O54" s="43"/>
    </row>
    <row r="55" spans="1:15" x14ac:dyDescent="0.35">
      <c r="A55" s="12">
        <v>1</v>
      </c>
      <c r="B55" s="12" t="s">
        <v>13</v>
      </c>
      <c r="C55" s="7" t="s">
        <v>238</v>
      </c>
      <c r="D55" s="12" t="s">
        <v>3</v>
      </c>
      <c r="E55" s="12">
        <v>1</v>
      </c>
      <c r="F55" s="8">
        <v>5000</v>
      </c>
      <c r="G55" s="8">
        <v>5000</v>
      </c>
      <c r="H55" s="8">
        <v>575</v>
      </c>
      <c r="I55" s="8">
        <v>575</v>
      </c>
      <c r="J55" s="8">
        <v>2200</v>
      </c>
      <c r="K55" s="8">
        <v>2200</v>
      </c>
      <c r="L55" s="8">
        <v>9156</v>
      </c>
      <c r="M55" s="8">
        <v>9156</v>
      </c>
      <c r="N55" s="43"/>
      <c r="O55" s="43"/>
    </row>
    <row r="56" spans="1:15" x14ac:dyDescent="0.35">
      <c r="A56" s="12">
        <v>2</v>
      </c>
      <c r="B56" s="12" t="s">
        <v>14</v>
      </c>
      <c r="C56" s="7" t="s">
        <v>122</v>
      </c>
      <c r="D56" s="12" t="s">
        <v>16</v>
      </c>
      <c r="E56" s="12">
        <v>1</v>
      </c>
      <c r="F56" s="8">
        <v>200</v>
      </c>
      <c r="G56" s="8">
        <v>200</v>
      </c>
      <c r="H56" s="8">
        <v>1150</v>
      </c>
      <c r="I56" s="8">
        <v>1150</v>
      </c>
      <c r="J56" s="8">
        <v>110</v>
      </c>
      <c r="K56" s="8">
        <v>110</v>
      </c>
      <c r="L56" s="8">
        <v>4578</v>
      </c>
      <c r="M56" s="8">
        <v>4578</v>
      </c>
      <c r="N56" s="43"/>
      <c r="O56" s="43"/>
    </row>
    <row r="57" spans="1:15" x14ac:dyDescent="0.35">
      <c r="A57" s="12">
        <v>3</v>
      </c>
      <c r="B57" s="12" t="s">
        <v>15</v>
      </c>
      <c r="C57" s="7" t="s">
        <v>123</v>
      </c>
      <c r="D57" s="12" t="s">
        <v>16</v>
      </c>
      <c r="E57" s="12">
        <v>82</v>
      </c>
      <c r="F57" s="8">
        <v>200</v>
      </c>
      <c r="G57" s="8">
        <v>16400</v>
      </c>
      <c r="H57" s="8">
        <v>57</v>
      </c>
      <c r="I57" s="8">
        <v>4674</v>
      </c>
      <c r="J57" s="8">
        <v>110</v>
      </c>
      <c r="K57" s="8">
        <v>9020</v>
      </c>
      <c r="L57" s="8">
        <v>183</v>
      </c>
      <c r="M57" s="8">
        <v>15006</v>
      </c>
      <c r="N57" s="43"/>
      <c r="O57" s="43"/>
    </row>
    <row r="58" spans="1:15" x14ac:dyDescent="0.35">
      <c r="A58" s="12">
        <v>4</v>
      </c>
      <c r="B58" s="12" t="s">
        <v>18</v>
      </c>
      <c r="C58" s="7" t="s">
        <v>124</v>
      </c>
      <c r="D58" s="12" t="s">
        <v>16</v>
      </c>
      <c r="E58" s="12">
        <v>8</v>
      </c>
      <c r="F58" s="8">
        <v>600</v>
      </c>
      <c r="G58" s="8">
        <v>4800</v>
      </c>
      <c r="H58" s="8">
        <v>36</v>
      </c>
      <c r="I58" s="8">
        <v>288</v>
      </c>
      <c r="J58" s="8">
        <v>275</v>
      </c>
      <c r="K58" s="8">
        <v>2200</v>
      </c>
      <c r="L58" s="8">
        <v>1145</v>
      </c>
      <c r="M58" s="8">
        <v>9160</v>
      </c>
      <c r="N58" s="43"/>
      <c r="O58" s="43"/>
    </row>
    <row r="59" spans="1:15" x14ac:dyDescent="0.35">
      <c r="A59" s="12">
        <v>5</v>
      </c>
      <c r="B59" s="12" t="s">
        <v>19</v>
      </c>
      <c r="C59" s="7" t="s">
        <v>125</v>
      </c>
      <c r="D59" s="12" t="s">
        <v>16</v>
      </c>
      <c r="E59" s="12">
        <v>2</v>
      </c>
      <c r="F59" s="8">
        <v>400</v>
      </c>
      <c r="G59" s="8">
        <v>800</v>
      </c>
      <c r="H59" s="8">
        <v>175</v>
      </c>
      <c r="I59" s="8">
        <v>350</v>
      </c>
      <c r="J59" s="8">
        <v>110</v>
      </c>
      <c r="K59" s="8">
        <v>220</v>
      </c>
      <c r="L59" s="8">
        <v>2289</v>
      </c>
      <c r="M59" s="8">
        <v>4578</v>
      </c>
      <c r="N59" s="43"/>
      <c r="O59" s="43"/>
    </row>
    <row r="60" spans="1:15" x14ac:dyDescent="0.35">
      <c r="A60" s="12">
        <v>6</v>
      </c>
      <c r="B60" s="12" t="s">
        <v>126</v>
      </c>
      <c r="C60" s="7" t="s">
        <v>127</v>
      </c>
      <c r="D60" s="12" t="s">
        <v>16</v>
      </c>
      <c r="E60" s="12">
        <v>2</v>
      </c>
      <c r="F60" s="8">
        <v>1500</v>
      </c>
      <c r="G60" s="8">
        <v>3000</v>
      </c>
      <c r="H60" s="8">
        <v>750</v>
      </c>
      <c r="I60" s="8">
        <v>1500</v>
      </c>
      <c r="J60" s="8">
        <v>1100</v>
      </c>
      <c r="K60" s="8">
        <v>2200</v>
      </c>
      <c r="L60" s="8">
        <v>9156</v>
      </c>
      <c r="M60" s="8">
        <v>18312</v>
      </c>
      <c r="N60" s="43"/>
      <c r="O60" s="43"/>
    </row>
    <row r="61" spans="1:15" x14ac:dyDescent="0.35">
      <c r="A61" s="12">
        <v>7</v>
      </c>
      <c r="B61" s="12" t="s">
        <v>128</v>
      </c>
      <c r="C61" s="7" t="s">
        <v>239</v>
      </c>
      <c r="D61" s="12" t="s">
        <v>3</v>
      </c>
      <c r="E61" s="12">
        <v>1</v>
      </c>
      <c r="F61" s="8">
        <v>30000</v>
      </c>
      <c r="G61" s="8">
        <v>30000</v>
      </c>
      <c r="H61" s="8">
        <v>14900</v>
      </c>
      <c r="I61" s="8">
        <v>14900</v>
      </c>
      <c r="J61" s="8">
        <v>27500</v>
      </c>
      <c r="K61" s="8">
        <v>27500</v>
      </c>
      <c r="L61" s="8">
        <v>46560</v>
      </c>
      <c r="M61" s="8">
        <v>46560</v>
      </c>
      <c r="N61" s="43"/>
      <c r="O61" s="43"/>
    </row>
    <row r="62" spans="1:15" x14ac:dyDescent="0.35">
      <c r="A62" s="12">
        <v>8</v>
      </c>
      <c r="B62" s="12" t="s">
        <v>129</v>
      </c>
      <c r="C62" s="7" t="s">
        <v>130</v>
      </c>
      <c r="D62" s="12" t="s">
        <v>21</v>
      </c>
      <c r="E62" s="12">
        <v>95</v>
      </c>
      <c r="F62" s="8">
        <v>75</v>
      </c>
      <c r="G62" s="8">
        <v>7125</v>
      </c>
      <c r="H62" s="8">
        <v>115</v>
      </c>
      <c r="I62" s="8">
        <v>10925</v>
      </c>
      <c r="J62" s="8">
        <v>63.8</v>
      </c>
      <c r="K62" s="8">
        <v>6061</v>
      </c>
      <c r="L62" s="8">
        <v>106.5</v>
      </c>
      <c r="M62" s="8">
        <v>10117.5</v>
      </c>
      <c r="N62" s="43"/>
      <c r="O62" s="43"/>
    </row>
    <row r="63" spans="1:15" x14ac:dyDescent="0.35">
      <c r="A63" s="12">
        <v>9</v>
      </c>
      <c r="B63" s="12" t="s">
        <v>131</v>
      </c>
      <c r="C63" s="7" t="s">
        <v>240</v>
      </c>
      <c r="D63" s="12" t="s">
        <v>3</v>
      </c>
      <c r="E63" s="12">
        <v>1</v>
      </c>
      <c r="F63" s="8">
        <v>20000</v>
      </c>
      <c r="G63" s="8">
        <v>20000</v>
      </c>
      <c r="H63" s="8">
        <v>575</v>
      </c>
      <c r="I63" s="8">
        <v>575</v>
      </c>
      <c r="J63" s="8">
        <v>2750</v>
      </c>
      <c r="K63" s="8">
        <v>2750</v>
      </c>
      <c r="L63" s="8">
        <v>18315</v>
      </c>
      <c r="M63" s="8">
        <v>18315</v>
      </c>
      <c r="N63" s="43"/>
      <c r="O63" s="43"/>
    </row>
    <row r="64" spans="1:15" x14ac:dyDescent="0.35">
      <c r="A64" s="12">
        <v>10</v>
      </c>
      <c r="B64" s="12" t="s">
        <v>33</v>
      </c>
      <c r="C64" s="7" t="s">
        <v>241</v>
      </c>
      <c r="D64" s="12" t="s">
        <v>21</v>
      </c>
      <c r="E64" s="18">
        <v>28737</v>
      </c>
      <c r="F64" s="8">
        <v>1.8</v>
      </c>
      <c r="G64" s="8">
        <v>51726.6</v>
      </c>
      <c r="H64" s="8">
        <v>2</v>
      </c>
      <c r="I64" s="8">
        <v>57474</v>
      </c>
      <c r="J64" s="8">
        <v>2.31</v>
      </c>
      <c r="K64" s="8">
        <v>66382.47</v>
      </c>
      <c r="L64" s="8">
        <v>3.05</v>
      </c>
      <c r="M64" s="8">
        <v>87647.85</v>
      </c>
      <c r="N64" s="43"/>
      <c r="O64" s="43"/>
    </row>
    <row r="65" spans="1:15" x14ac:dyDescent="0.35">
      <c r="A65" s="12">
        <v>11</v>
      </c>
      <c r="B65" s="12" t="s">
        <v>34</v>
      </c>
      <c r="C65" s="7" t="s">
        <v>242</v>
      </c>
      <c r="D65" s="12" t="s">
        <v>21</v>
      </c>
      <c r="E65" s="18">
        <v>20112</v>
      </c>
      <c r="F65" s="8">
        <v>1.6</v>
      </c>
      <c r="G65" s="8">
        <v>32179.200000000001</v>
      </c>
      <c r="H65" s="8">
        <v>2</v>
      </c>
      <c r="I65" s="8">
        <v>40224</v>
      </c>
      <c r="J65" s="8">
        <v>2.42</v>
      </c>
      <c r="K65" s="8">
        <v>48671.040000000001</v>
      </c>
      <c r="L65" s="8">
        <v>5.75</v>
      </c>
      <c r="M65" s="8">
        <v>115644</v>
      </c>
      <c r="N65" s="43"/>
      <c r="O65" s="43"/>
    </row>
    <row r="66" spans="1:15" x14ac:dyDescent="0.35">
      <c r="A66" s="12">
        <v>12</v>
      </c>
      <c r="B66" s="12" t="s">
        <v>35</v>
      </c>
      <c r="C66" s="7" t="s">
        <v>243</v>
      </c>
      <c r="D66" s="12" t="s">
        <v>21</v>
      </c>
      <c r="E66" s="18">
        <v>11262</v>
      </c>
      <c r="F66" s="8">
        <v>1.6</v>
      </c>
      <c r="G66" s="8">
        <v>18019.2</v>
      </c>
      <c r="H66" s="8">
        <v>2.5499999999999998</v>
      </c>
      <c r="I66" s="8">
        <v>28718.1</v>
      </c>
      <c r="J66" s="8">
        <v>4.4000000000000004</v>
      </c>
      <c r="K66" s="8">
        <v>49552.800000000003</v>
      </c>
      <c r="L66" s="8">
        <v>3.65</v>
      </c>
      <c r="M66" s="8">
        <v>41106.300000000003</v>
      </c>
      <c r="N66" s="43"/>
      <c r="O66" s="43"/>
    </row>
    <row r="67" spans="1:15" x14ac:dyDescent="0.35">
      <c r="A67" s="12">
        <v>13</v>
      </c>
      <c r="B67" s="12" t="s">
        <v>36</v>
      </c>
      <c r="C67" s="7" t="s">
        <v>244</v>
      </c>
      <c r="D67" s="12" t="s">
        <v>21</v>
      </c>
      <c r="E67" s="12">
        <v>390</v>
      </c>
      <c r="F67" s="8">
        <v>7</v>
      </c>
      <c r="G67" s="8">
        <v>2730</v>
      </c>
      <c r="H67" s="8">
        <v>9.6</v>
      </c>
      <c r="I67" s="8">
        <v>3744</v>
      </c>
      <c r="J67" s="8">
        <v>7.15</v>
      </c>
      <c r="K67" s="8">
        <v>2788.5</v>
      </c>
      <c r="L67" s="8">
        <v>17.5</v>
      </c>
      <c r="M67" s="8">
        <v>6825</v>
      </c>
      <c r="N67" s="43"/>
      <c r="O67" s="43"/>
    </row>
    <row r="68" spans="1:15" x14ac:dyDescent="0.35">
      <c r="A68" s="12">
        <v>14</v>
      </c>
      <c r="B68" s="12" t="s">
        <v>134</v>
      </c>
      <c r="C68" s="7" t="s">
        <v>245</v>
      </c>
      <c r="D68" s="12" t="s">
        <v>21</v>
      </c>
      <c r="E68" s="12">
        <v>130</v>
      </c>
      <c r="F68" s="8">
        <v>2</v>
      </c>
      <c r="G68" s="8">
        <v>260</v>
      </c>
      <c r="H68" s="8">
        <v>4</v>
      </c>
      <c r="I68" s="8">
        <v>520</v>
      </c>
      <c r="J68" s="8">
        <v>2.86</v>
      </c>
      <c r="K68" s="8">
        <v>371.8</v>
      </c>
      <c r="L68" s="8">
        <v>38.5</v>
      </c>
      <c r="M68" s="8">
        <v>5005</v>
      </c>
      <c r="N68" s="43"/>
      <c r="O68" s="43"/>
    </row>
    <row r="69" spans="1:15" x14ac:dyDescent="0.35">
      <c r="A69" s="12">
        <v>15</v>
      </c>
      <c r="B69" s="12" t="s">
        <v>135</v>
      </c>
      <c r="C69" s="7" t="s">
        <v>246</v>
      </c>
      <c r="D69" s="12" t="s">
        <v>16</v>
      </c>
      <c r="E69" s="12">
        <v>1</v>
      </c>
      <c r="F69" s="8">
        <v>35000</v>
      </c>
      <c r="G69" s="8">
        <v>35000</v>
      </c>
      <c r="H69" s="8">
        <v>67000</v>
      </c>
      <c r="I69" s="8">
        <v>67000</v>
      </c>
      <c r="J69" s="8">
        <v>27500</v>
      </c>
      <c r="K69" s="8">
        <v>27500</v>
      </c>
      <c r="L69" s="8">
        <v>140110</v>
      </c>
      <c r="M69" s="8">
        <v>140110</v>
      </c>
      <c r="N69" s="43"/>
      <c r="O69" s="43"/>
    </row>
    <row r="70" spans="1:15" x14ac:dyDescent="0.35">
      <c r="A70" s="12">
        <v>16</v>
      </c>
      <c r="B70" s="12" t="s">
        <v>136</v>
      </c>
      <c r="C70" s="7" t="s">
        <v>247</v>
      </c>
      <c r="D70" s="12" t="s">
        <v>16</v>
      </c>
      <c r="E70" s="12">
        <v>1</v>
      </c>
      <c r="F70" s="8">
        <v>90000</v>
      </c>
      <c r="G70" s="8">
        <v>90000</v>
      </c>
      <c r="H70" s="8">
        <v>83000</v>
      </c>
      <c r="I70" s="8">
        <v>83000</v>
      </c>
      <c r="J70" s="8">
        <v>91300</v>
      </c>
      <c r="K70" s="8">
        <v>91300</v>
      </c>
      <c r="L70" s="8">
        <v>197480</v>
      </c>
      <c r="M70" s="8">
        <v>197480</v>
      </c>
      <c r="N70" s="43"/>
      <c r="O70" s="43"/>
    </row>
    <row r="71" spans="1:15" x14ac:dyDescent="0.35">
      <c r="A71" s="12">
        <v>17</v>
      </c>
      <c r="B71" s="12" t="s">
        <v>137</v>
      </c>
      <c r="C71" s="7" t="s">
        <v>248</v>
      </c>
      <c r="D71" s="12" t="s">
        <v>3</v>
      </c>
      <c r="E71" s="12">
        <v>1</v>
      </c>
      <c r="F71" s="8">
        <v>4000</v>
      </c>
      <c r="G71" s="8">
        <v>4000</v>
      </c>
      <c r="H71" s="8">
        <v>1150</v>
      </c>
      <c r="I71" s="8">
        <v>1150</v>
      </c>
      <c r="J71" s="8">
        <v>2200</v>
      </c>
      <c r="K71" s="8">
        <v>2200</v>
      </c>
      <c r="L71" s="8">
        <v>45780</v>
      </c>
      <c r="M71" s="8">
        <v>45780</v>
      </c>
      <c r="N71" s="43"/>
      <c r="O71" s="43"/>
    </row>
    <row r="72" spans="1:15" x14ac:dyDescent="0.35">
      <c r="A72" s="12">
        <v>18</v>
      </c>
      <c r="B72" s="12" t="s">
        <v>138</v>
      </c>
      <c r="C72" s="7" t="s">
        <v>249</v>
      </c>
      <c r="D72" s="12" t="s">
        <v>16</v>
      </c>
      <c r="E72" s="12">
        <v>1</v>
      </c>
      <c r="F72" s="8">
        <v>10000</v>
      </c>
      <c r="G72" s="8">
        <v>10000</v>
      </c>
      <c r="H72" s="8">
        <v>15000</v>
      </c>
      <c r="I72" s="8">
        <v>15000</v>
      </c>
      <c r="J72" s="8">
        <v>14850</v>
      </c>
      <c r="K72" s="8">
        <v>14850</v>
      </c>
      <c r="L72" s="8">
        <v>17365</v>
      </c>
      <c r="M72" s="8">
        <v>17365</v>
      </c>
      <c r="N72" s="43"/>
      <c r="O72" s="43"/>
    </row>
    <row r="73" spans="1:15" x14ac:dyDescent="0.35">
      <c r="A73" s="12">
        <v>19</v>
      </c>
      <c r="B73" s="12" t="s">
        <v>139</v>
      </c>
      <c r="C73" s="7" t="s">
        <v>250</v>
      </c>
      <c r="D73" s="12" t="s">
        <v>16</v>
      </c>
      <c r="E73" s="12">
        <v>1</v>
      </c>
      <c r="F73" s="8">
        <v>12000</v>
      </c>
      <c r="G73" s="8">
        <v>12000</v>
      </c>
      <c r="H73" s="8">
        <v>16000</v>
      </c>
      <c r="I73" s="8">
        <v>16000</v>
      </c>
      <c r="J73" s="8">
        <v>15400</v>
      </c>
      <c r="K73" s="8">
        <v>15400</v>
      </c>
      <c r="L73" s="8">
        <v>17950</v>
      </c>
      <c r="M73" s="8">
        <v>17950</v>
      </c>
      <c r="N73" s="43"/>
      <c r="O73" s="43"/>
    </row>
    <row r="74" spans="1:15" x14ac:dyDescent="0.35">
      <c r="A74" s="12">
        <v>20</v>
      </c>
      <c r="B74" s="12" t="s">
        <v>140</v>
      </c>
      <c r="C74" s="7" t="s">
        <v>251</v>
      </c>
      <c r="D74" s="12" t="s">
        <v>16</v>
      </c>
      <c r="E74" s="12">
        <v>1</v>
      </c>
      <c r="F74" s="8">
        <v>18000</v>
      </c>
      <c r="G74" s="8">
        <v>18000</v>
      </c>
      <c r="H74" s="8">
        <v>18000</v>
      </c>
      <c r="I74" s="8">
        <v>18000</v>
      </c>
      <c r="J74" s="8">
        <v>17050</v>
      </c>
      <c r="K74" s="8">
        <v>17050</v>
      </c>
      <c r="L74" s="8">
        <v>19485</v>
      </c>
      <c r="M74" s="8">
        <v>19485</v>
      </c>
      <c r="N74" s="43"/>
      <c r="O74" s="43"/>
    </row>
    <row r="75" spans="1:15" x14ac:dyDescent="0.35">
      <c r="A75" s="12">
        <v>21</v>
      </c>
      <c r="B75" s="12" t="s">
        <v>37</v>
      </c>
      <c r="C75" s="7" t="s">
        <v>252</v>
      </c>
      <c r="D75" s="12" t="s">
        <v>21</v>
      </c>
      <c r="E75" s="18">
        <v>17912</v>
      </c>
      <c r="F75" s="8">
        <v>12</v>
      </c>
      <c r="G75" s="8">
        <v>214944</v>
      </c>
      <c r="H75" s="8">
        <v>9</v>
      </c>
      <c r="I75" s="8">
        <v>161208</v>
      </c>
      <c r="J75" s="8">
        <v>8.8000000000000007</v>
      </c>
      <c r="K75" s="8">
        <v>157625.60000000001</v>
      </c>
      <c r="L75" s="8">
        <v>8.75</v>
      </c>
      <c r="M75" s="8">
        <v>156730</v>
      </c>
      <c r="N75" s="43"/>
      <c r="O75" s="43"/>
    </row>
    <row r="76" spans="1:15" x14ac:dyDescent="0.35">
      <c r="A76" s="12">
        <v>22</v>
      </c>
      <c r="B76" s="12" t="s">
        <v>38</v>
      </c>
      <c r="C76" s="7" t="s">
        <v>253</v>
      </c>
      <c r="D76" s="12" t="s">
        <v>21</v>
      </c>
      <c r="E76" s="12">
        <v>600</v>
      </c>
      <c r="F76" s="8">
        <v>40</v>
      </c>
      <c r="G76" s="8">
        <v>24000</v>
      </c>
      <c r="H76" s="8">
        <v>110</v>
      </c>
      <c r="I76" s="8">
        <v>66000</v>
      </c>
      <c r="J76" s="8">
        <v>17.600000000000001</v>
      </c>
      <c r="K76" s="8">
        <v>10560</v>
      </c>
      <c r="L76" s="8">
        <v>43</v>
      </c>
      <c r="M76" s="8">
        <v>25800</v>
      </c>
      <c r="N76" s="43"/>
      <c r="O76" s="43"/>
    </row>
    <row r="77" spans="1:15" x14ac:dyDescent="0.35">
      <c r="A77" s="12">
        <v>23</v>
      </c>
      <c r="B77" s="12" t="s">
        <v>39</v>
      </c>
      <c r="C77" s="7" t="s">
        <v>254</v>
      </c>
      <c r="D77" s="12" t="s">
        <v>21</v>
      </c>
      <c r="E77" s="12">
        <v>780</v>
      </c>
      <c r="F77" s="8">
        <v>55</v>
      </c>
      <c r="G77" s="8">
        <v>42900</v>
      </c>
      <c r="H77" s="8">
        <v>168</v>
      </c>
      <c r="I77" s="8">
        <v>131040</v>
      </c>
      <c r="J77" s="8">
        <v>38.5</v>
      </c>
      <c r="K77" s="8">
        <v>30030</v>
      </c>
      <c r="L77" s="8">
        <v>30</v>
      </c>
      <c r="M77" s="8">
        <v>23400</v>
      </c>
      <c r="N77" s="43"/>
      <c r="O77" s="43"/>
    </row>
    <row r="78" spans="1:15" x14ac:dyDescent="0.35">
      <c r="A78" s="12">
        <v>24</v>
      </c>
      <c r="B78" s="12" t="s">
        <v>40</v>
      </c>
      <c r="C78" s="7" t="s">
        <v>255</v>
      </c>
      <c r="D78" s="12" t="s">
        <v>16</v>
      </c>
      <c r="E78" s="12">
        <v>17</v>
      </c>
      <c r="F78" s="8">
        <v>1000</v>
      </c>
      <c r="G78" s="8">
        <v>17000</v>
      </c>
      <c r="H78" s="8">
        <v>1100</v>
      </c>
      <c r="I78" s="8">
        <v>18700</v>
      </c>
      <c r="J78" s="8">
        <v>1100</v>
      </c>
      <c r="K78" s="8">
        <v>18700</v>
      </c>
      <c r="L78" s="8">
        <v>2264</v>
      </c>
      <c r="M78" s="8">
        <v>38488</v>
      </c>
      <c r="N78" s="43"/>
      <c r="O78" s="43"/>
    </row>
    <row r="79" spans="1:15" x14ac:dyDescent="0.35">
      <c r="A79" s="12">
        <v>25</v>
      </c>
      <c r="B79" s="12" t="s">
        <v>41</v>
      </c>
      <c r="C79" s="7" t="s">
        <v>256</v>
      </c>
      <c r="D79" s="12" t="s">
        <v>21</v>
      </c>
      <c r="E79" s="12">
        <v>7</v>
      </c>
      <c r="F79" s="8">
        <v>2200</v>
      </c>
      <c r="G79" s="8">
        <v>15400</v>
      </c>
      <c r="H79" s="8">
        <v>3000</v>
      </c>
      <c r="I79" s="8">
        <v>21000</v>
      </c>
      <c r="J79" s="8">
        <v>3080</v>
      </c>
      <c r="K79" s="8">
        <v>21560</v>
      </c>
      <c r="L79" s="8">
        <v>11000</v>
      </c>
      <c r="M79" s="8">
        <v>77000</v>
      </c>
      <c r="N79" s="43"/>
      <c r="O79" s="43"/>
    </row>
    <row r="80" spans="1:15" x14ac:dyDescent="0.35">
      <c r="A80" s="12">
        <v>26</v>
      </c>
      <c r="B80" s="12" t="s">
        <v>142</v>
      </c>
      <c r="C80" s="7" t="s">
        <v>257</v>
      </c>
      <c r="D80" s="12" t="s">
        <v>21</v>
      </c>
      <c r="E80" s="12">
        <v>2</v>
      </c>
      <c r="F80" s="8">
        <v>3300</v>
      </c>
      <c r="G80" s="8">
        <v>6600</v>
      </c>
      <c r="H80" s="8">
        <v>5000</v>
      </c>
      <c r="I80" s="8">
        <v>10000</v>
      </c>
      <c r="J80" s="8">
        <v>4950</v>
      </c>
      <c r="K80" s="8">
        <v>9900</v>
      </c>
      <c r="L80" s="8">
        <v>12050</v>
      </c>
      <c r="M80" s="8">
        <v>24100</v>
      </c>
      <c r="N80" s="43"/>
      <c r="O80" s="43"/>
    </row>
    <row r="81" spans="1:15" x14ac:dyDescent="0.35">
      <c r="A81" s="12">
        <v>27</v>
      </c>
      <c r="B81" s="12" t="s">
        <v>42</v>
      </c>
      <c r="C81" s="7" t="s">
        <v>258</v>
      </c>
      <c r="D81" s="12" t="s">
        <v>3</v>
      </c>
      <c r="E81" s="12">
        <v>1</v>
      </c>
      <c r="F81" s="8">
        <v>20000</v>
      </c>
      <c r="G81" s="8">
        <v>20000</v>
      </c>
      <c r="H81" s="8">
        <v>23000</v>
      </c>
      <c r="I81" s="8">
        <v>23000</v>
      </c>
      <c r="J81" s="8">
        <v>29700</v>
      </c>
      <c r="K81" s="8">
        <v>29700</v>
      </c>
      <c r="L81" s="8">
        <v>33055</v>
      </c>
      <c r="M81" s="8">
        <v>33055</v>
      </c>
      <c r="N81" s="43"/>
      <c r="O81" s="43"/>
    </row>
    <row r="82" spans="1:15" x14ac:dyDescent="0.35">
      <c r="A82" s="12">
        <v>28</v>
      </c>
      <c r="B82" s="12" t="s">
        <v>43</v>
      </c>
      <c r="C82" s="7" t="s">
        <v>143</v>
      </c>
      <c r="D82" s="12" t="s">
        <v>16</v>
      </c>
      <c r="E82" s="12">
        <v>7</v>
      </c>
      <c r="F82" s="8">
        <v>5000</v>
      </c>
      <c r="G82" s="8">
        <v>35000</v>
      </c>
      <c r="H82" s="8">
        <v>5400</v>
      </c>
      <c r="I82" s="8">
        <v>37800</v>
      </c>
      <c r="J82" s="8">
        <v>3850</v>
      </c>
      <c r="K82" s="8">
        <v>26950</v>
      </c>
      <c r="L82" s="8">
        <v>6334</v>
      </c>
      <c r="M82" s="8">
        <v>44338</v>
      </c>
      <c r="N82" s="43"/>
      <c r="O82" s="43"/>
    </row>
    <row r="83" spans="1:15" x14ac:dyDescent="0.35">
      <c r="A83" s="12">
        <v>29</v>
      </c>
      <c r="B83" s="12" t="s">
        <v>44</v>
      </c>
      <c r="C83" s="7" t="s">
        <v>144</v>
      </c>
      <c r="D83" s="12" t="s">
        <v>16</v>
      </c>
      <c r="E83" s="12">
        <v>1</v>
      </c>
      <c r="F83" s="8">
        <v>5500</v>
      </c>
      <c r="G83" s="8">
        <v>5500</v>
      </c>
      <c r="H83" s="8">
        <v>7000</v>
      </c>
      <c r="I83" s="8">
        <v>7000</v>
      </c>
      <c r="J83" s="8">
        <v>5060</v>
      </c>
      <c r="K83" s="8">
        <v>5060</v>
      </c>
      <c r="L83" s="8">
        <v>7343</v>
      </c>
      <c r="M83" s="8">
        <v>7343</v>
      </c>
      <c r="N83" s="43"/>
      <c r="O83" s="43"/>
    </row>
    <row r="84" spans="1:15" x14ac:dyDescent="0.35">
      <c r="A84" s="12">
        <v>30</v>
      </c>
      <c r="B84" s="12" t="s">
        <v>45</v>
      </c>
      <c r="C84" s="7" t="s">
        <v>145</v>
      </c>
      <c r="D84" s="12" t="s">
        <v>16</v>
      </c>
      <c r="E84" s="12">
        <v>57</v>
      </c>
      <c r="F84" s="8">
        <v>1500</v>
      </c>
      <c r="G84" s="8">
        <v>85500</v>
      </c>
      <c r="H84" s="8">
        <v>1740</v>
      </c>
      <c r="I84" s="8">
        <v>99180</v>
      </c>
      <c r="J84" s="8">
        <v>1650</v>
      </c>
      <c r="K84" s="8">
        <v>94050</v>
      </c>
      <c r="L84" s="8">
        <v>2133</v>
      </c>
      <c r="M84" s="8">
        <v>121581</v>
      </c>
      <c r="N84" s="43"/>
      <c r="O84" s="43"/>
    </row>
    <row r="85" spans="1:15" x14ac:dyDescent="0.35">
      <c r="A85" s="12">
        <v>31</v>
      </c>
      <c r="B85" s="12" t="s">
        <v>146</v>
      </c>
      <c r="C85" s="7" t="s">
        <v>147</v>
      </c>
      <c r="D85" s="12" t="s">
        <v>16</v>
      </c>
      <c r="E85" s="12">
        <v>16</v>
      </c>
      <c r="F85" s="8">
        <v>1500</v>
      </c>
      <c r="G85" s="8">
        <v>24000</v>
      </c>
      <c r="H85" s="8">
        <v>1825</v>
      </c>
      <c r="I85" s="8">
        <v>29200</v>
      </c>
      <c r="J85" s="8">
        <v>1705</v>
      </c>
      <c r="K85" s="8">
        <v>27280</v>
      </c>
      <c r="L85" s="8">
        <v>2015</v>
      </c>
      <c r="M85" s="8">
        <v>32240</v>
      </c>
      <c r="N85" s="43"/>
      <c r="O85" s="43"/>
    </row>
    <row r="86" spans="1:15" x14ac:dyDescent="0.35">
      <c r="A86" s="12">
        <v>32</v>
      </c>
      <c r="B86" s="12" t="s">
        <v>148</v>
      </c>
      <c r="C86" s="7" t="s">
        <v>259</v>
      </c>
      <c r="D86" s="12" t="s">
        <v>3</v>
      </c>
      <c r="E86" s="12">
        <v>1</v>
      </c>
      <c r="F86" s="8">
        <v>40000</v>
      </c>
      <c r="G86" s="8">
        <v>40000</v>
      </c>
      <c r="H86" s="8">
        <v>59000</v>
      </c>
      <c r="I86" s="8">
        <v>59000</v>
      </c>
      <c r="J86" s="8">
        <v>56732.5</v>
      </c>
      <c r="K86" s="8">
        <v>56732.5</v>
      </c>
      <c r="L86" s="8">
        <v>54825</v>
      </c>
      <c r="M86" s="8">
        <v>54825</v>
      </c>
      <c r="N86" s="43"/>
      <c r="O86" s="43"/>
    </row>
    <row r="87" spans="1:15" ht="15" thickBot="1" x14ac:dyDescent="0.4">
      <c r="A87" s="12">
        <v>33</v>
      </c>
      <c r="B87" s="12" t="s">
        <v>149</v>
      </c>
      <c r="C87" s="7" t="s">
        <v>260</v>
      </c>
      <c r="D87" s="12" t="s">
        <v>3</v>
      </c>
      <c r="E87" s="12">
        <v>1</v>
      </c>
      <c r="F87" s="8">
        <v>40000</v>
      </c>
      <c r="G87" s="8">
        <v>40000</v>
      </c>
      <c r="H87" s="8">
        <v>59000</v>
      </c>
      <c r="I87" s="8">
        <v>59000</v>
      </c>
      <c r="J87" s="8">
        <v>56732.5</v>
      </c>
      <c r="K87" s="8">
        <v>56732.5</v>
      </c>
      <c r="L87" s="8">
        <v>54825</v>
      </c>
      <c r="M87" s="8">
        <v>54825</v>
      </c>
      <c r="N87" s="43"/>
      <c r="O87" s="43"/>
    </row>
    <row r="88" spans="1:15" ht="16" thickBot="1" x14ac:dyDescent="0.4">
      <c r="A88" s="5"/>
      <c r="B88" s="7"/>
      <c r="C88" s="7"/>
      <c r="D88" s="7"/>
      <c r="E88" s="39" t="s">
        <v>162</v>
      </c>
      <c r="F88" s="27"/>
      <c r="G88" s="25">
        <f>SUM(Table8[EXTENDED TOTAL])</f>
        <v>932084</v>
      </c>
      <c r="H88" s="27"/>
      <c r="I88" s="25">
        <f>SUM(Table8[EXTENDED TOTAL3])</f>
        <v>1087895.1000000001</v>
      </c>
      <c r="J88" s="27"/>
      <c r="K88" s="25">
        <f>SUM(Table8[EXTENDED TOTAL5])</f>
        <v>933208.21</v>
      </c>
      <c r="L88" s="27"/>
      <c r="M88" s="26">
        <f>SUM(Table8[EXTENDED TOTAL7])</f>
        <v>1523905.65</v>
      </c>
      <c r="N88" s="43"/>
      <c r="O88" s="43"/>
    </row>
    <row r="89" spans="1:15" ht="15" thickBot="1" x14ac:dyDescent="0.4">
      <c r="A89" s="83"/>
      <c r="B89" s="43"/>
      <c r="C89" s="43"/>
      <c r="D89" s="43"/>
      <c r="E89" s="43"/>
      <c r="F89" s="43"/>
      <c r="G89" s="43"/>
      <c r="H89" s="43"/>
      <c r="I89" s="43"/>
      <c r="J89" s="43"/>
      <c r="K89" s="43"/>
      <c r="L89" s="43"/>
      <c r="M89" s="43"/>
      <c r="N89" s="43"/>
      <c r="O89" s="43"/>
    </row>
    <row r="90" spans="1:15" ht="16" thickBot="1" x14ac:dyDescent="0.4">
      <c r="A90" s="245" t="s">
        <v>456</v>
      </c>
      <c r="B90" s="246"/>
      <c r="C90" s="246"/>
      <c r="D90" s="246"/>
      <c r="E90" s="247"/>
      <c r="F90" s="245" t="s">
        <v>75</v>
      </c>
      <c r="G90" s="247"/>
      <c r="H90" s="245" t="s">
        <v>119</v>
      </c>
      <c r="I90" s="247"/>
      <c r="J90" s="245" t="s">
        <v>120</v>
      </c>
      <c r="K90" s="247"/>
      <c r="L90" s="245" t="s">
        <v>121</v>
      </c>
      <c r="M90" s="247"/>
      <c r="N90" s="43"/>
      <c r="O90" s="43"/>
    </row>
    <row r="91" spans="1:15" x14ac:dyDescent="0.35">
      <c r="A91" s="84" t="s">
        <v>157</v>
      </c>
      <c r="B91" s="84" t="s">
        <v>98</v>
      </c>
      <c r="C91" s="84" t="s">
        <v>0</v>
      </c>
      <c r="D91" s="84" t="s">
        <v>1</v>
      </c>
      <c r="E91" s="104" t="s">
        <v>64</v>
      </c>
      <c r="F91" s="84" t="s">
        <v>262</v>
      </c>
      <c r="G91" s="84" t="s">
        <v>94</v>
      </c>
      <c r="H91" s="84" t="s">
        <v>355</v>
      </c>
      <c r="I91" s="84" t="s">
        <v>357</v>
      </c>
      <c r="J91" s="84" t="s">
        <v>420</v>
      </c>
      <c r="K91" s="84" t="s">
        <v>421</v>
      </c>
      <c r="L91" s="84" t="s">
        <v>422</v>
      </c>
      <c r="M91" s="84" t="s">
        <v>423</v>
      </c>
      <c r="N91" s="43"/>
      <c r="O91" s="43"/>
    </row>
    <row r="92" spans="1:15" x14ac:dyDescent="0.35">
      <c r="A92" s="68">
        <v>1</v>
      </c>
      <c r="B92" s="68" t="s">
        <v>17</v>
      </c>
      <c r="C92" s="67" t="s">
        <v>158</v>
      </c>
      <c r="D92" s="68" t="s">
        <v>16</v>
      </c>
      <c r="E92" s="68">
        <v>63</v>
      </c>
      <c r="F92" s="105">
        <v>400</v>
      </c>
      <c r="G92" s="105">
        <v>25200</v>
      </c>
      <c r="H92" s="105">
        <v>57</v>
      </c>
      <c r="I92" s="105">
        <v>3591</v>
      </c>
      <c r="J92" s="105">
        <v>110</v>
      </c>
      <c r="K92" s="105">
        <v>6930</v>
      </c>
      <c r="L92" s="105">
        <v>916</v>
      </c>
      <c r="M92" s="105">
        <v>57708</v>
      </c>
      <c r="N92" s="43"/>
      <c r="O92" s="43"/>
    </row>
    <row r="93" spans="1:15" x14ac:dyDescent="0.35">
      <c r="A93" s="68">
        <v>2</v>
      </c>
      <c r="B93" s="68" t="s">
        <v>33</v>
      </c>
      <c r="C93" s="67" t="s">
        <v>132</v>
      </c>
      <c r="D93" s="68" t="s">
        <v>21</v>
      </c>
      <c r="E93" s="68">
        <v>4263</v>
      </c>
      <c r="F93" s="105">
        <v>1.8</v>
      </c>
      <c r="G93" s="105">
        <v>7673.4</v>
      </c>
      <c r="H93" s="105">
        <v>2</v>
      </c>
      <c r="I93" s="105">
        <v>8526</v>
      </c>
      <c r="J93" s="105">
        <v>2.31</v>
      </c>
      <c r="K93" s="105">
        <v>9847.5300000000007</v>
      </c>
      <c r="L93" s="105">
        <v>3.2</v>
      </c>
      <c r="M93" s="105">
        <v>13641.6</v>
      </c>
      <c r="N93" s="43"/>
      <c r="O93" s="43"/>
    </row>
    <row r="94" spans="1:15" x14ac:dyDescent="0.35">
      <c r="A94" s="68">
        <v>3</v>
      </c>
      <c r="B94" s="68" t="s">
        <v>34</v>
      </c>
      <c r="C94" s="67" t="s">
        <v>159</v>
      </c>
      <c r="D94" s="68" t="s">
        <v>21</v>
      </c>
      <c r="E94" s="68">
        <v>3088</v>
      </c>
      <c r="F94" s="105">
        <v>1.6</v>
      </c>
      <c r="G94" s="105">
        <v>4940.8</v>
      </c>
      <c r="H94" s="105">
        <v>2</v>
      </c>
      <c r="I94" s="105">
        <v>6176</v>
      </c>
      <c r="J94" s="105">
        <v>2.42</v>
      </c>
      <c r="K94" s="105">
        <v>7472.96</v>
      </c>
      <c r="L94" s="105">
        <v>7</v>
      </c>
      <c r="M94" s="105">
        <v>21616</v>
      </c>
      <c r="N94" s="43"/>
      <c r="O94" s="43"/>
    </row>
    <row r="95" spans="1:15" x14ac:dyDescent="0.35">
      <c r="A95" s="68">
        <v>4</v>
      </c>
      <c r="B95" s="68" t="s">
        <v>35</v>
      </c>
      <c r="C95" s="67" t="s">
        <v>133</v>
      </c>
      <c r="D95" s="68" t="s">
        <v>21</v>
      </c>
      <c r="E95" s="68">
        <v>3088</v>
      </c>
      <c r="F95" s="105">
        <v>1.6</v>
      </c>
      <c r="G95" s="105">
        <v>4940.8</v>
      </c>
      <c r="H95" s="105">
        <v>2.5499999999999998</v>
      </c>
      <c r="I95" s="105">
        <v>7874.4</v>
      </c>
      <c r="J95" s="105">
        <v>4.4000000000000004</v>
      </c>
      <c r="K95" s="105">
        <v>13587.2</v>
      </c>
      <c r="L95" s="105">
        <v>3.65</v>
      </c>
      <c r="M95" s="105">
        <v>11271.2</v>
      </c>
      <c r="N95" s="43"/>
      <c r="O95" s="43"/>
    </row>
    <row r="96" spans="1:15" x14ac:dyDescent="0.35">
      <c r="A96" s="68">
        <v>5</v>
      </c>
      <c r="B96" s="68" t="s">
        <v>37</v>
      </c>
      <c r="C96" s="67" t="s">
        <v>141</v>
      </c>
      <c r="D96" s="68" t="s">
        <v>21</v>
      </c>
      <c r="E96" s="68">
        <v>3088</v>
      </c>
      <c r="F96" s="105">
        <v>12</v>
      </c>
      <c r="G96" s="105">
        <v>37056</v>
      </c>
      <c r="H96" s="105">
        <v>9.0500000000000007</v>
      </c>
      <c r="I96" s="105">
        <v>27946.400000000001</v>
      </c>
      <c r="J96" s="105">
        <v>8.8000000000000007</v>
      </c>
      <c r="K96" s="105">
        <v>27174.400000000001</v>
      </c>
      <c r="L96" s="105">
        <v>12.75</v>
      </c>
      <c r="M96" s="105">
        <v>39372</v>
      </c>
      <c r="N96" s="43"/>
      <c r="O96" s="43"/>
    </row>
    <row r="97" spans="1:15" ht="15" thickBot="1" x14ac:dyDescent="0.4">
      <c r="A97" s="68">
        <v>6</v>
      </c>
      <c r="B97" s="68" t="s">
        <v>148</v>
      </c>
      <c r="C97" s="67" t="s">
        <v>160</v>
      </c>
      <c r="D97" s="68" t="s">
        <v>16</v>
      </c>
      <c r="E97" s="68">
        <v>62</v>
      </c>
      <c r="F97" s="105">
        <v>1200</v>
      </c>
      <c r="G97" s="105">
        <v>74400</v>
      </c>
      <c r="H97" s="105">
        <v>1550</v>
      </c>
      <c r="I97" s="105">
        <v>96100</v>
      </c>
      <c r="J97" s="105">
        <v>1595</v>
      </c>
      <c r="K97" s="105">
        <v>98890</v>
      </c>
      <c r="L97" s="105">
        <v>1770</v>
      </c>
      <c r="M97" s="105">
        <v>109740</v>
      </c>
      <c r="N97" s="43"/>
      <c r="O97" s="43"/>
    </row>
    <row r="98" spans="1:15" ht="16" thickBot="1" x14ac:dyDescent="0.4">
      <c r="A98" s="67"/>
      <c r="B98" s="67"/>
      <c r="C98" s="67"/>
      <c r="D98" s="67"/>
      <c r="E98" s="56" t="s">
        <v>161</v>
      </c>
      <c r="F98" s="86"/>
      <c r="G98" s="41">
        <f>SUM(Table9[EXTENDED TOTAL])</f>
        <v>154211</v>
      </c>
      <c r="H98" s="41"/>
      <c r="I98" s="41">
        <f>SUM(Table9[EXTENDED TOTAL3])</f>
        <v>150213.79999999999</v>
      </c>
      <c r="J98" s="41"/>
      <c r="K98" s="41">
        <f>SUM(Table9[EXTENDED TOTAL5])</f>
        <v>163902.09</v>
      </c>
      <c r="L98" s="41"/>
      <c r="M98" s="42">
        <f>SUM(Table9[EXTENDED TOTAL7])</f>
        <v>253348.8</v>
      </c>
      <c r="N98" s="43"/>
      <c r="O98" s="43"/>
    </row>
    <row r="99" spans="1:15" ht="15" thickBot="1" x14ac:dyDescent="0.4">
      <c r="A99" s="67"/>
      <c r="B99" s="67"/>
      <c r="C99" s="67"/>
      <c r="D99" s="67"/>
      <c r="E99" s="43"/>
      <c r="F99" s="43"/>
      <c r="G99" s="43"/>
      <c r="H99" s="43"/>
      <c r="I99" s="43"/>
      <c r="J99" s="43"/>
      <c r="K99" s="43"/>
      <c r="L99" s="43"/>
      <c r="M99" s="43"/>
      <c r="N99" s="43"/>
      <c r="O99" s="43"/>
    </row>
    <row r="100" spans="1:15" ht="16" thickBot="1" x14ac:dyDescent="0.4">
      <c r="A100" s="43"/>
      <c r="B100" s="43"/>
      <c r="C100" s="43"/>
      <c r="D100" s="83"/>
      <c r="E100" s="56" t="s">
        <v>165</v>
      </c>
      <c r="F100" s="86"/>
      <c r="G100" s="44">
        <f t="shared" ref="G100:I100" si="1">SUM(G98,G88,G51,G37)</f>
        <v>8358605</v>
      </c>
      <c r="H100" s="44"/>
      <c r="I100" s="44">
        <f t="shared" si="1"/>
        <v>8233576.75</v>
      </c>
      <c r="J100" s="44"/>
      <c r="K100" s="44">
        <f>SUM(K98,K88,K51,K37)</f>
        <v>8789878.9600000009</v>
      </c>
      <c r="L100" s="41"/>
      <c r="M100" s="45">
        <f>SUM(M98,M88,M51,M37)</f>
        <v>9489064.1999999993</v>
      </c>
      <c r="N100" s="43"/>
      <c r="O100" s="43"/>
    </row>
    <row r="101" spans="1:15" x14ac:dyDescent="0.35">
      <c r="A101" s="43"/>
      <c r="B101" s="43"/>
      <c r="C101" s="43"/>
      <c r="D101" s="43"/>
      <c r="E101" s="43"/>
      <c r="F101" s="43"/>
      <c r="G101" s="43"/>
      <c r="H101" s="43"/>
      <c r="I101" s="43"/>
      <c r="J101" s="43"/>
      <c r="K101" s="43"/>
      <c r="L101" s="43"/>
      <c r="M101" s="43"/>
      <c r="N101" s="43"/>
      <c r="O101" s="43"/>
    </row>
    <row r="102" spans="1:15" x14ac:dyDescent="0.35">
      <c r="A102" s="43"/>
      <c r="B102" s="43"/>
      <c r="C102" s="43"/>
      <c r="D102" s="43"/>
      <c r="E102" s="43"/>
      <c r="F102" s="43"/>
      <c r="G102" s="43"/>
      <c r="H102" s="43"/>
      <c r="I102" s="43"/>
      <c r="J102" s="43"/>
      <c r="K102" s="43"/>
      <c r="L102" s="43"/>
      <c r="M102" s="43"/>
      <c r="N102" s="43"/>
      <c r="O102" s="43"/>
    </row>
    <row r="105" spans="1:15" x14ac:dyDescent="0.35">
      <c r="G105" s="1"/>
    </row>
    <row r="109" spans="1:15" x14ac:dyDescent="0.35">
      <c r="C109" s="7"/>
      <c r="D109" s="6"/>
    </row>
    <row r="110" spans="1:15" x14ac:dyDescent="0.35">
      <c r="C110" s="7"/>
      <c r="D110" s="6"/>
    </row>
    <row r="111" spans="1:15" x14ac:dyDescent="0.35">
      <c r="C111" s="7"/>
      <c r="D111" s="6"/>
    </row>
    <row r="112" spans="1:15" x14ac:dyDescent="0.35">
      <c r="C112" s="7"/>
      <c r="D112" s="6"/>
    </row>
    <row r="113" spans="3:4" x14ac:dyDescent="0.35">
      <c r="C113" s="7"/>
      <c r="D113" s="6"/>
    </row>
    <row r="114" spans="3:4" x14ac:dyDescent="0.35">
      <c r="C114" s="7"/>
      <c r="D114" s="6"/>
    </row>
    <row r="115" spans="3:4" x14ac:dyDescent="0.35">
      <c r="C115" s="7"/>
      <c r="D115" s="6"/>
    </row>
    <row r="116" spans="3:4" x14ac:dyDescent="0.35">
      <c r="C116" s="7"/>
      <c r="D116" s="6"/>
    </row>
    <row r="117" spans="3:4" x14ac:dyDescent="0.35">
      <c r="C117" s="7"/>
      <c r="D117" s="6"/>
    </row>
    <row r="118" spans="3:4" x14ac:dyDescent="0.35">
      <c r="C118" s="7"/>
      <c r="D118" s="6"/>
    </row>
    <row r="119" spans="3:4" x14ac:dyDescent="0.35">
      <c r="C119" s="7"/>
      <c r="D119" s="6"/>
    </row>
    <row r="120" spans="3:4" x14ac:dyDescent="0.35">
      <c r="C120" s="7"/>
      <c r="D120" s="6"/>
    </row>
    <row r="121" spans="3:4" x14ac:dyDescent="0.35">
      <c r="C121" s="7"/>
      <c r="D121" s="6"/>
    </row>
    <row r="122" spans="3:4" x14ac:dyDescent="0.35">
      <c r="C122" s="7"/>
      <c r="D122" s="6"/>
    </row>
    <row r="123" spans="3:4" x14ac:dyDescent="0.35">
      <c r="C123" s="7"/>
      <c r="D123" s="6"/>
    </row>
    <row r="124" spans="3:4" x14ac:dyDescent="0.35">
      <c r="C124" s="7"/>
      <c r="D124" s="6"/>
    </row>
    <row r="125" spans="3:4" x14ac:dyDescent="0.35">
      <c r="C125" s="7"/>
      <c r="D125" s="6"/>
    </row>
    <row r="126" spans="3:4" x14ac:dyDescent="0.35">
      <c r="C126" s="7"/>
      <c r="D126" s="6"/>
    </row>
    <row r="127" spans="3:4" x14ac:dyDescent="0.35">
      <c r="C127" s="7"/>
      <c r="D127" s="6"/>
    </row>
    <row r="128" spans="3:4" x14ac:dyDescent="0.35">
      <c r="C128" s="7"/>
      <c r="D128" s="6"/>
    </row>
    <row r="129" spans="3:4" x14ac:dyDescent="0.35">
      <c r="C129" s="7"/>
      <c r="D129" s="6"/>
    </row>
    <row r="130" spans="3:4" x14ac:dyDescent="0.35">
      <c r="C130" s="7"/>
      <c r="D130" s="6"/>
    </row>
    <row r="131" spans="3:4" x14ac:dyDescent="0.35">
      <c r="C131" s="7"/>
      <c r="D131" s="6"/>
    </row>
    <row r="132" spans="3:4" x14ac:dyDescent="0.35">
      <c r="C132" s="7"/>
      <c r="D132" s="6"/>
    </row>
    <row r="133" spans="3:4" x14ac:dyDescent="0.35">
      <c r="C133" s="7"/>
      <c r="D133" s="6"/>
    </row>
    <row r="134" spans="3:4" x14ac:dyDescent="0.35">
      <c r="C134" s="7"/>
      <c r="D134" s="6"/>
    </row>
    <row r="135" spans="3:4" x14ac:dyDescent="0.35">
      <c r="C135" s="7"/>
      <c r="D135" s="6"/>
    </row>
    <row r="136" spans="3:4" x14ac:dyDescent="0.35">
      <c r="C136" s="7"/>
      <c r="D136" s="6"/>
    </row>
    <row r="137" spans="3:4" x14ac:dyDescent="0.35">
      <c r="C137" s="7"/>
      <c r="D137" s="6"/>
    </row>
    <row r="138" spans="3:4" x14ac:dyDescent="0.35">
      <c r="C138" s="7"/>
      <c r="D138" s="6"/>
    </row>
    <row r="139" spans="3:4" x14ac:dyDescent="0.35">
      <c r="C139" s="7"/>
      <c r="D139" s="6"/>
    </row>
    <row r="140" spans="3:4" x14ac:dyDescent="0.35">
      <c r="C140" s="7"/>
      <c r="D140" s="6"/>
    </row>
    <row r="141" spans="3:4" x14ac:dyDescent="0.35">
      <c r="C141" s="7"/>
      <c r="D141" s="6"/>
    </row>
    <row r="142" spans="3:4" x14ac:dyDescent="0.35">
      <c r="C142" s="7"/>
      <c r="D142" s="6"/>
    </row>
    <row r="143" spans="3:4" x14ac:dyDescent="0.35">
      <c r="C143" s="7"/>
      <c r="D143" s="6"/>
    </row>
    <row r="144" spans="3:4" x14ac:dyDescent="0.35">
      <c r="C144" s="7"/>
      <c r="D144" s="6"/>
    </row>
    <row r="145" spans="3:4" x14ac:dyDescent="0.35">
      <c r="C145" s="7"/>
      <c r="D145" s="6"/>
    </row>
    <row r="146" spans="3:4" x14ac:dyDescent="0.35">
      <c r="C146" s="7"/>
      <c r="D146" s="6"/>
    </row>
    <row r="147" spans="3:4" x14ac:dyDescent="0.35">
      <c r="C147" s="6"/>
      <c r="D147" s="6"/>
    </row>
    <row r="148" spans="3:4" x14ac:dyDescent="0.35">
      <c r="C148" s="6"/>
      <c r="D148" s="6"/>
    </row>
    <row r="149" spans="3:4" x14ac:dyDescent="0.35">
      <c r="C149" s="6"/>
      <c r="D149" s="6"/>
    </row>
    <row r="150" spans="3:4" x14ac:dyDescent="0.35">
      <c r="C150" s="6"/>
      <c r="D150" s="6"/>
    </row>
    <row r="151" spans="3:4" x14ac:dyDescent="0.35">
      <c r="C151" s="6"/>
      <c r="D151" s="6"/>
    </row>
    <row r="152" spans="3:4" x14ac:dyDescent="0.35">
      <c r="C152" s="6"/>
      <c r="D152" s="6"/>
    </row>
    <row r="153" spans="3:4" x14ac:dyDescent="0.35">
      <c r="C153" s="6"/>
      <c r="D153" s="6"/>
    </row>
    <row r="154" spans="3:4" x14ac:dyDescent="0.35">
      <c r="C154" s="6"/>
      <c r="D154" s="6"/>
    </row>
    <row r="155" spans="3:4" x14ac:dyDescent="0.35">
      <c r="C155" s="6"/>
      <c r="D155" s="6"/>
    </row>
    <row r="156" spans="3:4" x14ac:dyDescent="0.35">
      <c r="C156" s="6"/>
      <c r="D156" s="6"/>
    </row>
    <row r="157" spans="3:4" x14ac:dyDescent="0.35">
      <c r="C157" s="6"/>
      <c r="D157" s="6"/>
    </row>
    <row r="158" spans="3:4" x14ac:dyDescent="0.35">
      <c r="C158" s="6"/>
      <c r="D158" s="6"/>
    </row>
    <row r="159" spans="3:4" x14ac:dyDescent="0.35">
      <c r="C159" s="6"/>
      <c r="D159" s="6"/>
    </row>
    <row r="160" spans="3:4" x14ac:dyDescent="0.35">
      <c r="C160" s="6"/>
      <c r="D160" s="6"/>
    </row>
    <row r="161" spans="3:4" x14ac:dyDescent="0.35">
      <c r="C161" s="6"/>
      <c r="D161" s="6"/>
    </row>
    <row r="162" spans="3:4" x14ac:dyDescent="0.35">
      <c r="C162" s="6"/>
      <c r="D162" s="6"/>
    </row>
    <row r="163" spans="3:4" x14ac:dyDescent="0.35">
      <c r="C163" s="6"/>
      <c r="D163" s="6"/>
    </row>
    <row r="164" spans="3:4" x14ac:dyDescent="0.35">
      <c r="C164" s="6"/>
      <c r="D164" s="6"/>
    </row>
    <row r="165" spans="3:4" x14ac:dyDescent="0.35">
      <c r="C165" s="6"/>
      <c r="D165" s="6"/>
    </row>
    <row r="166" spans="3:4" x14ac:dyDescent="0.35">
      <c r="C166" s="6"/>
      <c r="D166" s="6"/>
    </row>
    <row r="167" spans="3:4" x14ac:dyDescent="0.35">
      <c r="C167" s="6"/>
      <c r="D167" s="6"/>
    </row>
  </sheetData>
  <mergeCells count="20">
    <mergeCell ref="A39:E39"/>
    <mergeCell ref="F39:G39"/>
    <mergeCell ref="H39:I39"/>
    <mergeCell ref="J39:K39"/>
    <mergeCell ref="L39:M39"/>
    <mergeCell ref="A12:E12"/>
    <mergeCell ref="F12:G12"/>
    <mergeCell ref="H12:I12"/>
    <mergeCell ref="J12:K12"/>
    <mergeCell ref="L12:M12"/>
    <mergeCell ref="A53:E53"/>
    <mergeCell ref="F53:G53"/>
    <mergeCell ref="H53:I53"/>
    <mergeCell ref="J53:K53"/>
    <mergeCell ref="L53:M53"/>
    <mergeCell ref="H90:I90"/>
    <mergeCell ref="J90:K90"/>
    <mergeCell ref="L90:M90"/>
    <mergeCell ref="A90:E90"/>
    <mergeCell ref="F90:G90"/>
  </mergeCells>
  <pageMargins left="0.7" right="0.7" top="0.75" bottom="0.75" header="0.3" footer="0.3"/>
  <pageSetup orientation="portrait" verticalDpi="0" r:id="rId1"/>
  <ignoredErrors>
    <ignoredError sqref="H98" numberStoredAsText="1"/>
  </ignoredErrors>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70E37-F22D-4B1C-82C5-FF8CA8BE19E1}">
  <dimension ref="A1:K20"/>
  <sheetViews>
    <sheetView zoomScale="70" zoomScaleNormal="70" workbookViewId="0"/>
  </sheetViews>
  <sheetFormatPr defaultRowHeight="14.5" x14ac:dyDescent="0.35"/>
  <cols>
    <col min="1" max="1" width="20.81640625" bestFit="1" customWidth="1"/>
    <col min="2" max="2" width="32.26953125" bestFit="1" customWidth="1"/>
    <col min="3" max="3" width="31.453125" bestFit="1" customWidth="1"/>
    <col min="4" max="4" width="10" bestFit="1" customWidth="1"/>
    <col min="5" max="5" width="25.54296875" bestFit="1" customWidth="1"/>
    <col min="6" max="6" width="15" bestFit="1" customWidth="1"/>
    <col min="7" max="7" width="20.81640625" bestFit="1" customWidth="1"/>
    <col min="8" max="8" width="16" bestFit="1" customWidth="1"/>
    <col min="9" max="9" width="22" bestFit="1" customWidth="1"/>
    <col min="10" max="10" width="16" bestFit="1" customWidth="1"/>
    <col min="11" max="11" width="22" bestFit="1" customWidth="1"/>
  </cols>
  <sheetData>
    <row r="1" spans="1:11" x14ac:dyDescent="0.35">
      <c r="A1" s="43"/>
      <c r="B1" s="43"/>
      <c r="C1" s="43"/>
      <c r="D1" s="43"/>
      <c r="E1" s="43"/>
      <c r="F1" s="43"/>
      <c r="G1" s="43"/>
      <c r="H1" s="43"/>
      <c r="I1" s="43"/>
      <c r="J1" s="43"/>
      <c r="K1" s="43"/>
    </row>
    <row r="2" spans="1:11" x14ac:dyDescent="0.35">
      <c r="A2" s="43"/>
      <c r="B2" s="43"/>
      <c r="C2" s="43"/>
      <c r="D2" s="43"/>
      <c r="E2" s="43"/>
      <c r="F2" s="43"/>
      <c r="G2" s="43"/>
      <c r="H2" s="43"/>
      <c r="I2" s="43"/>
      <c r="J2" s="43"/>
      <c r="K2" s="43"/>
    </row>
    <row r="3" spans="1:11" ht="15.5" x14ac:dyDescent="0.35">
      <c r="A3" s="50" t="s">
        <v>65</v>
      </c>
      <c r="B3" s="43" t="s">
        <v>170</v>
      </c>
      <c r="C3" s="43"/>
      <c r="D3" s="43"/>
      <c r="E3" s="43"/>
      <c r="F3" s="43"/>
      <c r="G3" s="43"/>
      <c r="H3" s="43"/>
      <c r="I3" s="43"/>
      <c r="J3" s="43"/>
      <c r="K3" s="43"/>
    </row>
    <row r="4" spans="1:11" ht="15.5" x14ac:dyDescent="0.35">
      <c r="A4" s="50" t="s">
        <v>67</v>
      </c>
      <c r="B4" s="43" t="str">
        <f>VLOOKUP(B3,DATA!$A$2:$E$80,3)</f>
        <v>Crossville</v>
      </c>
      <c r="C4" s="43"/>
      <c r="D4" s="43"/>
      <c r="E4" s="43"/>
      <c r="F4" s="43"/>
      <c r="G4" s="43"/>
      <c r="H4" s="43"/>
      <c r="I4" s="43"/>
      <c r="J4" s="43"/>
      <c r="K4" s="43"/>
    </row>
    <row r="5" spans="1:11" ht="15.5" x14ac:dyDescent="0.35">
      <c r="A5" s="50" t="s">
        <v>69</v>
      </c>
      <c r="B5" s="43" t="str">
        <f>VLOOKUP(B3,DATA!$A$2:$E$80,4)</f>
        <v>Crossville Memorial-Whitson Field</v>
      </c>
      <c r="C5" s="43"/>
      <c r="D5" s="43"/>
      <c r="E5" s="43"/>
      <c r="F5" s="43"/>
      <c r="G5" s="43"/>
      <c r="H5" s="43"/>
      <c r="I5" s="43"/>
      <c r="J5" s="43"/>
      <c r="K5" s="43"/>
    </row>
    <row r="6" spans="1:11" ht="15.5" x14ac:dyDescent="0.35">
      <c r="A6" s="50" t="s">
        <v>70</v>
      </c>
      <c r="B6" s="43" t="s">
        <v>171</v>
      </c>
      <c r="C6" s="43"/>
      <c r="D6" s="43"/>
      <c r="E6" s="43"/>
      <c r="F6" s="43"/>
      <c r="G6" s="43"/>
      <c r="H6" s="43"/>
      <c r="I6" s="43"/>
      <c r="J6" s="43"/>
      <c r="K6" s="43"/>
    </row>
    <row r="7" spans="1:11" ht="15.5" x14ac:dyDescent="0.35">
      <c r="A7" s="50" t="s">
        <v>71</v>
      </c>
      <c r="B7" s="43" t="s">
        <v>261</v>
      </c>
      <c r="C7" s="43"/>
      <c r="D7" s="43"/>
      <c r="E7" s="43"/>
      <c r="F7" s="43"/>
      <c r="G7" s="43"/>
      <c r="H7" s="43"/>
      <c r="I7" s="43"/>
      <c r="J7" s="43"/>
      <c r="K7" s="43"/>
    </row>
    <row r="8" spans="1:11" ht="15.5" x14ac:dyDescent="0.35">
      <c r="A8" s="50" t="s">
        <v>72</v>
      </c>
      <c r="B8" s="51">
        <v>44637</v>
      </c>
      <c r="C8" s="43"/>
      <c r="D8" s="43"/>
      <c r="E8" s="43"/>
      <c r="F8" s="43"/>
      <c r="G8" s="43"/>
      <c r="H8" s="43"/>
      <c r="I8" s="43"/>
      <c r="J8" s="43"/>
      <c r="K8" s="43"/>
    </row>
    <row r="9" spans="1:11" ht="15.5" x14ac:dyDescent="0.35">
      <c r="A9" s="50" t="s">
        <v>66</v>
      </c>
      <c r="B9" s="43" t="str">
        <f>VLOOKUP(B3,DATA!$A$2:$E$80,2)</f>
        <v>Cumberland</v>
      </c>
      <c r="C9" s="43"/>
      <c r="D9" s="43"/>
      <c r="E9" s="43"/>
      <c r="F9" s="43"/>
      <c r="G9" s="43"/>
      <c r="H9" s="43"/>
      <c r="I9" s="43"/>
      <c r="J9" s="43"/>
      <c r="K9" s="43"/>
    </row>
    <row r="10" spans="1:11" ht="15.5" x14ac:dyDescent="0.35">
      <c r="A10" s="50" t="s">
        <v>68</v>
      </c>
      <c r="B10" s="43" t="str">
        <f>VLOOKUP(B3,DATA!$A$2:$E$80,5)</f>
        <v>East</v>
      </c>
      <c r="C10" s="43"/>
      <c r="D10" s="43"/>
      <c r="E10" s="43"/>
      <c r="F10" s="43"/>
      <c r="G10" s="43"/>
      <c r="H10" s="43"/>
      <c r="I10" s="43"/>
      <c r="J10" s="43"/>
      <c r="K10" s="43"/>
    </row>
    <row r="11" spans="1:11" ht="15" thickBot="1" x14ac:dyDescent="0.4">
      <c r="A11" s="43"/>
      <c r="B11" s="43"/>
      <c r="C11" s="43"/>
      <c r="D11" s="43"/>
      <c r="E11" s="43"/>
      <c r="F11" s="43"/>
      <c r="G11" s="43"/>
      <c r="H11" s="43"/>
      <c r="I11" s="43"/>
      <c r="J11" s="43"/>
      <c r="K11" s="43"/>
    </row>
    <row r="12" spans="1:11" ht="15.5" x14ac:dyDescent="0.35">
      <c r="A12" s="249" t="s">
        <v>176</v>
      </c>
      <c r="B12" s="250"/>
      <c r="C12" s="250"/>
      <c r="D12" s="250"/>
      <c r="E12" s="251"/>
      <c r="F12" s="249" t="s">
        <v>75</v>
      </c>
      <c r="G12" s="251"/>
      <c r="H12" s="249" t="s">
        <v>174</v>
      </c>
      <c r="I12" s="251"/>
      <c r="J12" s="249" t="s">
        <v>175</v>
      </c>
      <c r="K12" s="251"/>
    </row>
    <row r="13" spans="1:11" x14ac:dyDescent="0.35">
      <c r="A13" s="12" t="s">
        <v>62</v>
      </c>
      <c r="B13" s="12" t="s">
        <v>98</v>
      </c>
      <c r="C13" s="12" t="s">
        <v>0</v>
      </c>
      <c r="D13" s="12" t="s">
        <v>1</v>
      </c>
      <c r="E13" s="12" t="s">
        <v>64</v>
      </c>
      <c r="F13" s="12" t="s">
        <v>262</v>
      </c>
      <c r="G13" s="12" t="s">
        <v>94</v>
      </c>
      <c r="H13" s="12" t="s">
        <v>355</v>
      </c>
      <c r="I13" s="12" t="s">
        <v>95</v>
      </c>
      <c r="J13" s="12" t="s">
        <v>458</v>
      </c>
      <c r="K13" s="12" t="s">
        <v>357</v>
      </c>
    </row>
    <row r="14" spans="1:11" x14ac:dyDescent="0.35">
      <c r="A14" s="12">
        <v>1</v>
      </c>
      <c r="B14" s="12" t="s">
        <v>28</v>
      </c>
      <c r="C14" s="7" t="s">
        <v>102</v>
      </c>
      <c r="D14" s="12" t="s">
        <v>3</v>
      </c>
      <c r="E14" s="16">
        <v>1</v>
      </c>
      <c r="F14" s="14">
        <v>15000</v>
      </c>
      <c r="G14" s="14">
        <v>15000</v>
      </c>
      <c r="H14" s="14">
        <v>13200</v>
      </c>
      <c r="I14" s="14">
        <v>13200</v>
      </c>
      <c r="J14" s="14">
        <v>11000</v>
      </c>
      <c r="K14" s="14">
        <v>11000</v>
      </c>
    </row>
    <row r="15" spans="1:11" x14ac:dyDescent="0.35">
      <c r="A15" s="12">
        <v>2</v>
      </c>
      <c r="B15" s="12" t="s">
        <v>172</v>
      </c>
      <c r="C15" s="7" t="s">
        <v>173</v>
      </c>
      <c r="D15" s="12" t="s">
        <v>3</v>
      </c>
      <c r="E15" s="16">
        <v>1</v>
      </c>
      <c r="F15" s="14">
        <v>5000</v>
      </c>
      <c r="G15" s="14">
        <v>5000</v>
      </c>
      <c r="H15" s="14">
        <v>7690</v>
      </c>
      <c r="I15" s="14">
        <v>7690</v>
      </c>
      <c r="J15" s="14">
        <v>8000</v>
      </c>
      <c r="K15" s="14">
        <v>8000</v>
      </c>
    </row>
    <row r="16" spans="1:11" ht="44" thickBot="1" x14ac:dyDescent="0.4">
      <c r="A16" s="12">
        <v>3</v>
      </c>
      <c r="B16" s="12" t="s">
        <v>42</v>
      </c>
      <c r="C16" s="7" t="s">
        <v>177</v>
      </c>
      <c r="D16" s="12" t="s">
        <v>3</v>
      </c>
      <c r="E16" s="16">
        <v>1</v>
      </c>
      <c r="F16" s="14">
        <v>115000</v>
      </c>
      <c r="G16" s="14">
        <v>115000</v>
      </c>
      <c r="H16" s="14">
        <v>68715</v>
      </c>
      <c r="I16" s="14">
        <v>68715</v>
      </c>
      <c r="J16" s="14">
        <v>108025</v>
      </c>
      <c r="K16" s="14">
        <v>108025</v>
      </c>
    </row>
    <row r="17" spans="1:11" ht="16" thickBot="1" x14ac:dyDescent="0.4">
      <c r="A17" s="7"/>
      <c r="B17" s="7"/>
      <c r="C17" s="83"/>
      <c r="D17" s="7"/>
      <c r="E17" s="39" t="s">
        <v>61</v>
      </c>
      <c r="F17" s="28"/>
      <c r="G17" s="28">
        <f>SUM(Table11[EXTENDED TOTAL])</f>
        <v>135000</v>
      </c>
      <c r="H17" s="28"/>
      <c r="I17" s="28">
        <f>SUM(Table11[EXTENDED TOTAL2])</f>
        <v>89605</v>
      </c>
      <c r="J17" s="28"/>
      <c r="K17" s="29">
        <f>SUM(Table11[EXTENDED TOTAL3])</f>
        <v>127025</v>
      </c>
    </row>
    <row r="18" spans="1:11" x14ac:dyDescent="0.35">
      <c r="A18" s="43"/>
      <c r="B18" s="43"/>
      <c r="C18" s="43"/>
      <c r="D18" s="43"/>
      <c r="E18" s="43"/>
      <c r="F18" s="43"/>
      <c r="G18" s="43"/>
      <c r="H18" s="43"/>
      <c r="I18" s="43"/>
      <c r="J18" s="43"/>
      <c r="K18" s="43"/>
    </row>
    <row r="19" spans="1:11" x14ac:dyDescent="0.35">
      <c r="A19" s="43"/>
      <c r="B19" s="43"/>
      <c r="C19" s="43"/>
      <c r="D19" s="43"/>
      <c r="E19" s="43"/>
      <c r="F19" s="43"/>
      <c r="G19" s="43"/>
      <c r="H19" s="43"/>
      <c r="I19" s="43"/>
      <c r="J19" s="43"/>
      <c r="K19" s="43"/>
    </row>
    <row r="20" spans="1:11" x14ac:dyDescent="0.35">
      <c r="A20" s="43"/>
      <c r="B20" s="43"/>
      <c r="C20" s="43"/>
      <c r="D20" s="43"/>
      <c r="E20" s="43"/>
      <c r="F20" s="43"/>
      <c r="G20" s="43"/>
      <c r="H20" s="43"/>
      <c r="I20" s="43"/>
      <c r="J20" s="43"/>
      <c r="K20" s="43"/>
    </row>
  </sheetData>
  <mergeCells count="4">
    <mergeCell ref="A12:E12"/>
    <mergeCell ref="F12:G12"/>
    <mergeCell ref="H12:I12"/>
    <mergeCell ref="J12:K12"/>
  </mergeCells>
  <pageMargins left="0.7" right="0.7" top="0.75" bottom="0.75" header="0.3" footer="0.3"/>
  <pageSetup orientation="portrait" verticalDpi="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C260-4949-4916-83D6-3C5294BD23EA}">
  <dimension ref="A3:H169"/>
  <sheetViews>
    <sheetView zoomScale="80" zoomScaleNormal="80" workbookViewId="0">
      <selection activeCell="B7" sqref="B7"/>
    </sheetView>
  </sheetViews>
  <sheetFormatPr defaultRowHeight="14.5" x14ac:dyDescent="0.35"/>
  <cols>
    <col min="1" max="1" width="20.81640625" bestFit="1" customWidth="1"/>
    <col min="2" max="2" width="23.54296875" customWidth="1"/>
    <col min="3" max="3" width="90.7265625" customWidth="1"/>
    <col min="4" max="4" width="11.7265625" customWidth="1"/>
    <col min="5" max="5" width="22.453125" customWidth="1"/>
    <col min="6" max="6" width="16" customWidth="1"/>
    <col min="7" max="7" width="18.26953125" customWidth="1"/>
    <col min="8" max="9" width="11.7265625" customWidth="1"/>
    <col min="10" max="11" width="12.81640625" customWidth="1"/>
  </cols>
  <sheetData>
    <row r="3" spans="1:8" ht="15.5" x14ac:dyDescent="0.35">
      <c r="A3" s="2" t="s">
        <v>65</v>
      </c>
      <c r="B3" t="s">
        <v>439</v>
      </c>
      <c r="G3" s="2"/>
    </row>
    <row r="4" spans="1:8" ht="15.5" x14ac:dyDescent="0.35">
      <c r="A4" s="2" t="s">
        <v>67</v>
      </c>
      <c r="B4" t="str">
        <f>VLOOKUP(B3,DATA!$A$2:$E$80,3)</f>
        <v>Knoxville</v>
      </c>
      <c r="G4" s="2"/>
    </row>
    <row r="5" spans="1:8" ht="15.5" x14ac:dyDescent="0.35">
      <c r="A5" s="2" t="s">
        <v>69</v>
      </c>
      <c r="B5" t="str">
        <f>VLOOKUP(B3,DATA!$A$2:$E$80,4)</f>
        <v>Knoxville Downtown Island</v>
      </c>
      <c r="G5" s="2"/>
    </row>
    <row r="6" spans="1:8" ht="15.5" x14ac:dyDescent="0.35">
      <c r="A6" s="2" t="s">
        <v>70</v>
      </c>
      <c r="B6" t="s">
        <v>440</v>
      </c>
      <c r="G6" s="2"/>
    </row>
    <row r="7" spans="1:8" ht="15.5" x14ac:dyDescent="0.35">
      <c r="A7" s="2" t="s">
        <v>71</v>
      </c>
      <c r="B7" t="s">
        <v>744</v>
      </c>
      <c r="G7" s="2"/>
    </row>
    <row r="8" spans="1:8" ht="15.5" x14ac:dyDescent="0.35">
      <c r="A8" s="2" t="s">
        <v>741</v>
      </c>
      <c r="B8" s="3">
        <v>44586</v>
      </c>
      <c r="G8" s="2"/>
      <c r="H8" s="3"/>
    </row>
    <row r="9" spans="1:8" ht="15.5" x14ac:dyDescent="0.35">
      <c r="A9" s="2" t="s">
        <v>742</v>
      </c>
      <c r="B9" s="3">
        <v>44595</v>
      </c>
      <c r="G9" s="2"/>
      <c r="H9" s="3"/>
    </row>
    <row r="10" spans="1:8" ht="15.5" x14ac:dyDescent="0.35">
      <c r="A10" s="2" t="s">
        <v>66</v>
      </c>
      <c r="B10" t="str">
        <f>VLOOKUP(B3,DATA!$A$2:$E$80,2)</f>
        <v>Knox</v>
      </c>
      <c r="G10" s="2"/>
    </row>
    <row r="11" spans="1:8" ht="15.5" x14ac:dyDescent="0.35">
      <c r="A11" s="2" t="s">
        <v>68</v>
      </c>
      <c r="B11" t="str">
        <f>VLOOKUP(B3,DATA!$A$2:$E$80,5)</f>
        <v>East</v>
      </c>
      <c r="E11" s="9"/>
      <c r="F11" s="9"/>
      <c r="G11" s="2"/>
    </row>
    <row r="12" spans="1:8" ht="15" thickBot="1" x14ac:dyDescent="0.4">
      <c r="E12" s="9"/>
      <c r="F12" s="9"/>
      <c r="G12" s="9"/>
    </row>
    <row r="13" spans="1:8" ht="15.5" x14ac:dyDescent="0.35">
      <c r="A13" s="256" t="s">
        <v>461</v>
      </c>
      <c r="B13" s="257"/>
      <c r="C13" s="257"/>
      <c r="D13" s="257"/>
      <c r="E13" s="258"/>
      <c r="F13" s="263" t="s">
        <v>1049</v>
      </c>
      <c r="G13" s="264"/>
    </row>
    <row r="14" spans="1:8" ht="15.5" x14ac:dyDescent="0.35">
      <c r="A14" s="33" t="s">
        <v>62</v>
      </c>
      <c r="B14" t="s">
        <v>98</v>
      </c>
      <c r="C14" t="s">
        <v>0</v>
      </c>
      <c r="D14" t="s">
        <v>1</v>
      </c>
      <c r="E14" s="9" t="s">
        <v>64</v>
      </c>
      <c r="F14" s="9" t="s">
        <v>262</v>
      </c>
      <c r="G14" s="9" t="s">
        <v>94</v>
      </c>
    </row>
    <row r="15" spans="1:8" x14ac:dyDescent="0.35">
      <c r="A15" s="13">
        <v>1</v>
      </c>
      <c r="B15" s="13" t="s">
        <v>897</v>
      </c>
      <c r="C15" s="201" t="s">
        <v>898</v>
      </c>
      <c r="D15" s="13" t="s">
        <v>3</v>
      </c>
      <c r="E15" s="204">
        <v>1</v>
      </c>
      <c r="F15" s="202">
        <v>260500</v>
      </c>
      <c r="G15" s="202">
        <f t="shared" ref="G15:G78" si="0">SUM(E15*F15)</f>
        <v>260500</v>
      </c>
    </row>
    <row r="16" spans="1:8" x14ac:dyDescent="0.35">
      <c r="A16" s="13">
        <v>2</v>
      </c>
      <c r="B16" s="13" t="s">
        <v>266</v>
      </c>
      <c r="C16" s="201" t="s">
        <v>267</v>
      </c>
      <c r="D16" s="13" t="s">
        <v>8</v>
      </c>
      <c r="E16" s="204">
        <v>125000</v>
      </c>
      <c r="F16" s="202">
        <v>0.55000000000000004</v>
      </c>
      <c r="G16" s="202">
        <f t="shared" si="0"/>
        <v>68750</v>
      </c>
    </row>
    <row r="17" spans="1:7" x14ac:dyDescent="0.35">
      <c r="A17" s="13">
        <v>3</v>
      </c>
      <c r="B17" s="13" t="s">
        <v>917</v>
      </c>
      <c r="C17" s="201" t="s">
        <v>899</v>
      </c>
      <c r="D17" s="13" t="s">
        <v>21</v>
      </c>
      <c r="E17" s="204">
        <v>8900</v>
      </c>
      <c r="F17" s="202">
        <v>6.25</v>
      </c>
      <c r="G17" s="202">
        <f t="shared" si="0"/>
        <v>55625</v>
      </c>
    </row>
    <row r="18" spans="1:7" x14ac:dyDescent="0.35">
      <c r="A18" s="13">
        <v>4</v>
      </c>
      <c r="B18" s="13" t="s">
        <v>918</v>
      </c>
      <c r="C18" s="201" t="s">
        <v>900</v>
      </c>
      <c r="D18" s="13" t="s">
        <v>16</v>
      </c>
      <c r="E18" s="204">
        <v>6</v>
      </c>
      <c r="F18" s="202">
        <v>760</v>
      </c>
      <c r="G18" s="202">
        <f t="shared" si="0"/>
        <v>4560</v>
      </c>
    </row>
    <row r="19" spans="1:7" x14ac:dyDescent="0.35">
      <c r="A19" s="13">
        <v>5</v>
      </c>
      <c r="B19" s="13" t="s">
        <v>919</v>
      </c>
      <c r="C19" s="201" t="s">
        <v>901</v>
      </c>
      <c r="D19" s="13" t="s">
        <v>16</v>
      </c>
      <c r="E19" s="204">
        <v>6</v>
      </c>
      <c r="F19" s="202">
        <v>3000</v>
      </c>
      <c r="G19" s="202">
        <f t="shared" si="0"/>
        <v>18000</v>
      </c>
    </row>
    <row r="20" spans="1:7" x14ac:dyDescent="0.35">
      <c r="A20" s="13">
        <v>6</v>
      </c>
      <c r="B20" s="13" t="s">
        <v>920</v>
      </c>
      <c r="C20" s="201" t="s">
        <v>902</v>
      </c>
      <c r="D20" s="13" t="s">
        <v>21</v>
      </c>
      <c r="E20" s="204">
        <v>250</v>
      </c>
      <c r="F20" s="202">
        <v>5.65</v>
      </c>
      <c r="G20" s="202">
        <f t="shared" si="0"/>
        <v>1412.5</v>
      </c>
    </row>
    <row r="21" spans="1:7" x14ac:dyDescent="0.35">
      <c r="A21" s="13">
        <v>7</v>
      </c>
      <c r="B21" s="13" t="s">
        <v>268</v>
      </c>
      <c r="C21" s="201" t="s">
        <v>903</v>
      </c>
      <c r="D21" s="13" t="s">
        <v>16</v>
      </c>
      <c r="E21" s="204">
        <v>3</v>
      </c>
      <c r="F21" s="202">
        <v>155000</v>
      </c>
      <c r="G21" s="202">
        <f t="shared" si="0"/>
        <v>465000</v>
      </c>
    </row>
    <row r="22" spans="1:7" x14ac:dyDescent="0.35">
      <c r="A22" s="13">
        <v>8</v>
      </c>
      <c r="B22" s="13" t="s">
        <v>921</v>
      </c>
      <c r="C22" s="201" t="s">
        <v>904</v>
      </c>
      <c r="D22" s="13" t="s">
        <v>16</v>
      </c>
      <c r="E22" s="204">
        <v>1</v>
      </c>
      <c r="F22" s="202">
        <v>11700</v>
      </c>
      <c r="G22" s="202">
        <f t="shared" si="0"/>
        <v>11700</v>
      </c>
    </row>
    <row r="23" spans="1:7" x14ac:dyDescent="0.35">
      <c r="A23" s="13">
        <v>9</v>
      </c>
      <c r="B23" s="13" t="s">
        <v>28</v>
      </c>
      <c r="C23" s="201" t="s">
        <v>102</v>
      </c>
      <c r="D23" s="13" t="s">
        <v>3</v>
      </c>
      <c r="E23" s="204">
        <v>1</v>
      </c>
      <c r="F23" s="202">
        <v>855000</v>
      </c>
      <c r="G23" s="202">
        <f t="shared" si="0"/>
        <v>855000</v>
      </c>
    </row>
    <row r="24" spans="1:7" x14ac:dyDescent="0.35">
      <c r="A24" s="13">
        <v>10</v>
      </c>
      <c r="B24" s="13" t="s">
        <v>376</v>
      </c>
      <c r="C24" s="201" t="s">
        <v>905</v>
      </c>
      <c r="D24" s="13" t="s">
        <v>21</v>
      </c>
      <c r="E24" s="204">
        <v>13800</v>
      </c>
      <c r="F24" s="202">
        <v>0.7</v>
      </c>
      <c r="G24" s="202">
        <f t="shared" si="0"/>
        <v>9660</v>
      </c>
    </row>
    <row r="25" spans="1:7" x14ac:dyDescent="0.35">
      <c r="A25" s="13">
        <v>11</v>
      </c>
      <c r="B25" s="13" t="s">
        <v>278</v>
      </c>
      <c r="C25" s="201" t="s">
        <v>906</v>
      </c>
      <c r="D25" s="13" t="s">
        <v>8</v>
      </c>
      <c r="E25" s="204">
        <v>1900</v>
      </c>
      <c r="F25" s="202">
        <v>6.9</v>
      </c>
      <c r="G25" s="202">
        <f t="shared" si="0"/>
        <v>13110</v>
      </c>
    </row>
    <row r="26" spans="1:7" x14ac:dyDescent="0.35">
      <c r="A26" s="13">
        <v>12</v>
      </c>
      <c r="B26" s="13" t="s">
        <v>380</v>
      </c>
      <c r="C26" s="201" t="s">
        <v>907</v>
      </c>
      <c r="D26" s="13" t="s">
        <v>8</v>
      </c>
      <c r="E26" s="204">
        <v>160</v>
      </c>
      <c r="F26" s="202">
        <v>20</v>
      </c>
      <c r="G26" s="202">
        <f t="shared" si="0"/>
        <v>3200</v>
      </c>
    </row>
    <row r="27" spans="1:7" x14ac:dyDescent="0.35">
      <c r="A27" s="13">
        <v>13</v>
      </c>
      <c r="B27" s="13" t="s">
        <v>427</v>
      </c>
      <c r="C27" s="201" t="s">
        <v>908</v>
      </c>
      <c r="D27" s="13" t="s">
        <v>21</v>
      </c>
      <c r="E27" s="204">
        <v>1500</v>
      </c>
      <c r="F27" s="202">
        <v>60.15</v>
      </c>
      <c r="G27" s="202">
        <f t="shared" si="0"/>
        <v>90225</v>
      </c>
    </row>
    <row r="28" spans="1:7" x14ac:dyDescent="0.35">
      <c r="A28" s="13">
        <v>14</v>
      </c>
      <c r="B28" s="13" t="s">
        <v>279</v>
      </c>
      <c r="C28" s="201" t="s">
        <v>909</v>
      </c>
      <c r="D28" s="13" t="s">
        <v>21</v>
      </c>
      <c r="E28" s="204">
        <v>600</v>
      </c>
      <c r="F28" s="202">
        <v>10</v>
      </c>
      <c r="G28" s="202">
        <f t="shared" si="0"/>
        <v>6000</v>
      </c>
    </row>
    <row r="29" spans="1:7" x14ac:dyDescent="0.35">
      <c r="A29" s="13">
        <v>15</v>
      </c>
      <c r="B29" s="13" t="s">
        <v>384</v>
      </c>
      <c r="C29" s="201" t="s">
        <v>910</v>
      </c>
      <c r="D29" s="13" t="s">
        <v>16</v>
      </c>
      <c r="E29" s="204">
        <v>10</v>
      </c>
      <c r="F29" s="202">
        <v>1850</v>
      </c>
      <c r="G29" s="202">
        <f t="shared" si="0"/>
        <v>18500</v>
      </c>
    </row>
    <row r="30" spans="1:7" x14ac:dyDescent="0.35">
      <c r="A30" s="13">
        <v>16</v>
      </c>
      <c r="B30" s="13" t="s">
        <v>385</v>
      </c>
      <c r="C30" s="201" t="s">
        <v>911</v>
      </c>
      <c r="D30" s="13" t="s">
        <v>21</v>
      </c>
      <c r="E30" s="204">
        <v>440</v>
      </c>
      <c r="F30" s="202">
        <v>2.9</v>
      </c>
      <c r="G30" s="202">
        <f t="shared" si="0"/>
        <v>1276</v>
      </c>
    </row>
    <row r="31" spans="1:7" x14ac:dyDescent="0.35">
      <c r="A31" s="13">
        <v>17</v>
      </c>
      <c r="B31" s="13" t="s">
        <v>46</v>
      </c>
      <c r="C31" s="201" t="s">
        <v>213</v>
      </c>
      <c r="D31" s="13" t="s">
        <v>11</v>
      </c>
      <c r="E31" s="204">
        <v>3700</v>
      </c>
      <c r="F31" s="202">
        <v>54</v>
      </c>
      <c r="G31" s="202">
        <f t="shared" si="0"/>
        <v>199800</v>
      </c>
    </row>
    <row r="32" spans="1:7" x14ac:dyDescent="0.35">
      <c r="A32" s="13">
        <v>18</v>
      </c>
      <c r="B32" s="13" t="s">
        <v>762</v>
      </c>
      <c r="C32" s="201" t="s">
        <v>912</v>
      </c>
      <c r="D32" s="13" t="s">
        <v>11</v>
      </c>
      <c r="E32" s="204">
        <v>1800</v>
      </c>
      <c r="F32" s="202">
        <v>22.75</v>
      </c>
      <c r="G32" s="202">
        <f t="shared" si="0"/>
        <v>40950</v>
      </c>
    </row>
    <row r="33" spans="1:7" x14ac:dyDescent="0.35">
      <c r="A33" s="13">
        <v>19</v>
      </c>
      <c r="B33" s="13" t="s">
        <v>333</v>
      </c>
      <c r="C33" s="201" t="s">
        <v>914</v>
      </c>
      <c r="D33" s="13" t="s">
        <v>11</v>
      </c>
      <c r="E33" s="204">
        <v>1800</v>
      </c>
      <c r="F33" s="202">
        <v>24</v>
      </c>
      <c r="G33" s="202">
        <f t="shared" si="0"/>
        <v>43200</v>
      </c>
    </row>
    <row r="34" spans="1:7" x14ac:dyDescent="0.35">
      <c r="A34" s="13">
        <v>20</v>
      </c>
      <c r="B34" s="13" t="s">
        <v>922</v>
      </c>
      <c r="C34" s="201" t="s">
        <v>913</v>
      </c>
      <c r="D34" s="13" t="s">
        <v>8</v>
      </c>
      <c r="E34" s="205">
        <v>3300</v>
      </c>
      <c r="F34" s="203">
        <v>3.65</v>
      </c>
      <c r="G34" s="202">
        <f t="shared" si="0"/>
        <v>12045</v>
      </c>
    </row>
    <row r="35" spans="1:7" x14ac:dyDescent="0.35">
      <c r="A35" s="13">
        <v>21</v>
      </c>
      <c r="B35" s="13" t="s">
        <v>923</v>
      </c>
      <c r="C35" s="201" t="s">
        <v>915</v>
      </c>
      <c r="D35" s="13" t="s">
        <v>51</v>
      </c>
      <c r="E35" s="205">
        <v>90</v>
      </c>
      <c r="F35" s="203">
        <v>215</v>
      </c>
      <c r="G35" s="202">
        <f t="shared" si="0"/>
        <v>19350</v>
      </c>
    </row>
    <row r="36" spans="1:7" x14ac:dyDescent="0.35">
      <c r="A36" s="13">
        <v>22</v>
      </c>
      <c r="B36" s="13" t="s">
        <v>48</v>
      </c>
      <c r="C36" s="201" t="s">
        <v>916</v>
      </c>
      <c r="D36" s="13" t="s">
        <v>8</v>
      </c>
      <c r="E36" s="205">
        <v>33300</v>
      </c>
      <c r="F36" s="203">
        <v>7.05</v>
      </c>
      <c r="G36" s="202">
        <f t="shared" si="0"/>
        <v>234765</v>
      </c>
    </row>
    <row r="37" spans="1:7" x14ac:dyDescent="0.35">
      <c r="A37" s="13">
        <v>23</v>
      </c>
      <c r="B37" s="13" t="s">
        <v>924</v>
      </c>
      <c r="C37" s="201" t="s">
        <v>338</v>
      </c>
      <c r="D37" s="13" t="s">
        <v>51</v>
      </c>
      <c r="E37" s="205">
        <v>1100</v>
      </c>
      <c r="F37" s="203">
        <v>242.5</v>
      </c>
      <c r="G37" s="202">
        <f t="shared" si="0"/>
        <v>266750</v>
      </c>
    </row>
    <row r="38" spans="1:7" x14ac:dyDescent="0.35">
      <c r="A38" s="13">
        <v>24</v>
      </c>
      <c r="B38" s="13" t="s">
        <v>50</v>
      </c>
      <c r="C38" s="201" t="s">
        <v>960</v>
      </c>
      <c r="D38" s="13" t="s">
        <v>51</v>
      </c>
      <c r="E38" s="205">
        <v>4290</v>
      </c>
      <c r="F38" s="203">
        <v>151</v>
      </c>
      <c r="G38" s="202">
        <f t="shared" si="0"/>
        <v>647790</v>
      </c>
    </row>
    <row r="39" spans="1:7" x14ac:dyDescent="0.35">
      <c r="A39" s="13">
        <v>25</v>
      </c>
      <c r="B39" s="13" t="s">
        <v>339</v>
      </c>
      <c r="C39" s="201" t="s">
        <v>961</v>
      </c>
      <c r="D39" s="13" t="s">
        <v>51</v>
      </c>
      <c r="E39" s="205">
        <v>4470</v>
      </c>
      <c r="F39" s="203">
        <v>156</v>
      </c>
      <c r="G39" s="202">
        <f t="shared" si="0"/>
        <v>697320</v>
      </c>
    </row>
    <row r="40" spans="1:7" x14ac:dyDescent="0.35">
      <c r="A40" s="13">
        <v>26</v>
      </c>
      <c r="B40" s="13" t="s">
        <v>925</v>
      </c>
      <c r="C40" s="201" t="s">
        <v>962</v>
      </c>
      <c r="D40" s="13" t="s">
        <v>51</v>
      </c>
      <c r="E40" s="205">
        <v>160</v>
      </c>
      <c r="F40" s="203">
        <v>200</v>
      </c>
      <c r="G40" s="202">
        <f t="shared" si="0"/>
        <v>32000</v>
      </c>
    </row>
    <row r="41" spans="1:7" x14ac:dyDescent="0.35">
      <c r="A41" s="13">
        <v>27</v>
      </c>
      <c r="B41" s="13" t="s">
        <v>341</v>
      </c>
      <c r="C41" s="201" t="s">
        <v>342</v>
      </c>
      <c r="D41" s="13" t="s">
        <v>53</v>
      </c>
      <c r="E41" s="205">
        <v>10400</v>
      </c>
      <c r="F41" s="203">
        <v>7.6</v>
      </c>
      <c r="G41" s="202">
        <f t="shared" si="0"/>
        <v>79040</v>
      </c>
    </row>
    <row r="42" spans="1:7" x14ac:dyDescent="0.35">
      <c r="A42" s="13">
        <v>28</v>
      </c>
      <c r="B42" s="13" t="s">
        <v>287</v>
      </c>
      <c r="C42" s="201" t="s">
        <v>288</v>
      </c>
      <c r="D42" s="13" t="s">
        <v>53</v>
      </c>
      <c r="E42" s="205">
        <v>4000</v>
      </c>
      <c r="F42" s="203">
        <v>3.7</v>
      </c>
      <c r="G42" s="202">
        <f t="shared" si="0"/>
        <v>14800</v>
      </c>
    </row>
    <row r="43" spans="1:7" x14ac:dyDescent="0.35">
      <c r="A43" s="13">
        <v>29</v>
      </c>
      <c r="B43" s="13" t="s">
        <v>926</v>
      </c>
      <c r="C43" s="201" t="s">
        <v>963</v>
      </c>
      <c r="D43" s="13" t="s">
        <v>57</v>
      </c>
      <c r="E43" s="205">
        <v>3470</v>
      </c>
      <c r="F43" s="203">
        <v>2.25</v>
      </c>
      <c r="G43" s="202">
        <f t="shared" si="0"/>
        <v>7807.5</v>
      </c>
    </row>
    <row r="44" spans="1:7" x14ac:dyDescent="0.35">
      <c r="A44" s="13">
        <v>30</v>
      </c>
      <c r="B44" s="13" t="s">
        <v>927</v>
      </c>
      <c r="C44" s="201" t="s">
        <v>964</v>
      </c>
      <c r="D44" s="13" t="s">
        <v>57</v>
      </c>
      <c r="E44" s="205">
        <v>10530</v>
      </c>
      <c r="F44" s="203">
        <v>0.7</v>
      </c>
      <c r="G44" s="202">
        <f t="shared" si="0"/>
        <v>7370.9999999999991</v>
      </c>
    </row>
    <row r="45" spans="1:7" x14ac:dyDescent="0.35">
      <c r="A45" s="13">
        <v>31</v>
      </c>
      <c r="B45" s="13" t="s">
        <v>928</v>
      </c>
      <c r="C45" s="201" t="s">
        <v>965</v>
      </c>
      <c r="D45" s="13" t="s">
        <v>57</v>
      </c>
      <c r="E45" s="205">
        <v>10530</v>
      </c>
      <c r="F45" s="203">
        <v>0.7</v>
      </c>
      <c r="G45" s="202">
        <f t="shared" si="0"/>
        <v>7370.9999999999991</v>
      </c>
    </row>
    <row r="46" spans="1:7" x14ac:dyDescent="0.35">
      <c r="A46" s="13">
        <v>32</v>
      </c>
      <c r="B46" s="13" t="s">
        <v>929</v>
      </c>
      <c r="C46" s="201" t="s">
        <v>967</v>
      </c>
      <c r="D46" s="13" t="s">
        <v>57</v>
      </c>
      <c r="E46" s="205">
        <v>5690</v>
      </c>
      <c r="F46" s="203">
        <v>1.1000000000000001</v>
      </c>
      <c r="G46" s="202">
        <f t="shared" si="0"/>
        <v>6259.0000000000009</v>
      </c>
    </row>
    <row r="47" spans="1:7" x14ac:dyDescent="0.35">
      <c r="A47" s="13">
        <v>33</v>
      </c>
      <c r="B47" s="13" t="s">
        <v>930</v>
      </c>
      <c r="C47" s="201" t="s">
        <v>966</v>
      </c>
      <c r="D47" s="13" t="s">
        <v>57</v>
      </c>
      <c r="E47" s="205">
        <v>5690</v>
      </c>
      <c r="F47" s="203">
        <v>1.1000000000000001</v>
      </c>
      <c r="G47" s="202">
        <f t="shared" si="0"/>
        <v>6259.0000000000009</v>
      </c>
    </row>
    <row r="48" spans="1:7" x14ac:dyDescent="0.35">
      <c r="A48" s="13">
        <v>34</v>
      </c>
      <c r="B48" s="13" t="s">
        <v>931</v>
      </c>
      <c r="C48" s="201" t="s">
        <v>969</v>
      </c>
      <c r="D48" s="13" t="s">
        <v>57</v>
      </c>
      <c r="E48" s="205">
        <v>870</v>
      </c>
      <c r="F48" s="203">
        <v>6.7</v>
      </c>
      <c r="G48" s="202">
        <f t="shared" si="0"/>
        <v>5829</v>
      </c>
    </row>
    <row r="49" spans="1:7" x14ac:dyDescent="0.35">
      <c r="A49" s="13">
        <v>35</v>
      </c>
      <c r="B49" s="13" t="s">
        <v>932</v>
      </c>
      <c r="C49" s="201" t="s">
        <v>968</v>
      </c>
      <c r="D49" s="13" t="s">
        <v>57</v>
      </c>
      <c r="E49" s="205">
        <v>870</v>
      </c>
      <c r="F49" s="203">
        <v>3.35</v>
      </c>
      <c r="G49" s="202">
        <f t="shared" si="0"/>
        <v>2914.5</v>
      </c>
    </row>
    <row r="50" spans="1:7" x14ac:dyDescent="0.35">
      <c r="A50" s="13">
        <v>36</v>
      </c>
      <c r="B50" s="13" t="s">
        <v>933</v>
      </c>
      <c r="C50" s="201" t="s">
        <v>970</v>
      </c>
      <c r="D50" s="13" t="s">
        <v>57</v>
      </c>
      <c r="E50" s="205">
        <v>14570</v>
      </c>
      <c r="F50" s="203">
        <v>0.7</v>
      </c>
      <c r="G50" s="202">
        <f t="shared" si="0"/>
        <v>10199</v>
      </c>
    </row>
    <row r="51" spans="1:7" x14ac:dyDescent="0.35">
      <c r="A51" s="13">
        <v>37</v>
      </c>
      <c r="B51" s="13" t="s">
        <v>934</v>
      </c>
      <c r="C51" s="201" t="s">
        <v>971</v>
      </c>
      <c r="D51" s="13" t="s">
        <v>299</v>
      </c>
      <c r="E51" s="205">
        <v>1470</v>
      </c>
      <c r="F51" s="203">
        <v>4.45</v>
      </c>
      <c r="G51" s="202">
        <f t="shared" si="0"/>
        <v>6541.5</v>
      </c>
    </row>
    <row r="52" spans="1:7" x14ac:dyDescent="0.35">
      <c r="A52" s="13">
        <v>38</v>
      </c>
      <c r="B52" s="13" t="s">
        <v>935</v>
      </c>
      <c r="C52" s="201" t="s">
        <v>972</v>
      </c>
      <c r="D52" s="13" t="s">
        <v>8</v>
      </c>
      <c r="E52" s="205">
        <v>18360</v>
      </c>
      <c r="F52" s="203">
        <v>4.45</v>
      </c>
      <c r="G52" s="202">
        <f t="shared" si="0"/>
        <v>81702</v>
      </c>
    </row>
    <row r="53" spans="1:7" x14ac:dyDescent="0.35">
      <c r="A53" s="13">
        <v>39</v>
      </c>
      <c r="B53" s="13" t="s">
        <v>345</v>
      </c>
      <c r="C53" s="201" t="s">
        <v>973</v>
      </c>
      <c r="D53" s="13" t="s">
        <v>21</v>
      </c>
      <c r="E53" s="205">
        <v>230</v>
      </c>
      <c r="F53" s="203">
        <v>282</v>
      </c>
      <c r="G53" s="202">
        <f t="shared" si="0"/>
        <v>64860</v>
      </c>
    </row>
    <row r="54" spans="1:7" x14ac:dyDescent="0.35">
      <c r="A54" s="13">
        <v>40</v>
      </c>
      <c r="B54" s="13" t="s">
        <v>936</v>
      </c>
      <c r="C54" s="201" t="s">
        <v>974</v>
      </c>
      <c r="D54" s="13" t="s">
        <v>21</v>
      </c>
      <c r="E54" s="205">
        <v>270</v>
      </c>
      <c r="F54" s="203">
        <v>326</v>
      </c>
      <c r="G54" s="202">
        <f t="shared" si="0"/>
        <v>88020</v>
      </c>
    </row>
    <row r="55" spans="1:7" x14ac:dyDescent="0.35">
      <c r="A55" s="13">
        <v>41</v>
      </c>
      <c r="B55" s="13" t="s">
        <v>937</v>
      </c>
      <c r="C55" s="201" t="s">
        <v>975</v>
      </c>
      <c r="D55" s="13" t="s">
        <v>21</v>
      </c>
      <c r="E55" s="205">
        <v>500</v>
      </c>
      <c r="F55" s="203">
        <v>375.4</v>
      </c>
      <c r="G55" s="202">
        <f t="shared" si="0"/>
        <v>187700</v>
      </c>
    </row>
    <row r="56" spans="1:7" x14ac:dyDescent="0.35">
      <c r="A56" s="13">
        <v>42</v>
      </c>
      <c r="B56" s="13" t="s">
        <v>938</v>
      </c>
      <c r="C56" s="201" t="s">
        <v>976</v>
      </c>
      <c r="D56" s="13" t="s">
        <v>21</v>
      </c>
      <c r="E56" s="205">
        <v>60</v>
      </c>
      <c r="F56" s="203">
        <v>284</v>
      </c>
      <c r="G56" s="202">
        <f t="shared" si="0"/>
        <v>17040</v>
      </c>
    </row>
    <row r="57" spans="1:7" x14ac:dyDescent="0.35">
      <c r="A57" s="13">
        <v>43</v>
      </c>
      <c r="B57" s="13" t="s">
        <v>29</v>
      </c>
      <c r="C57" s="201" t="s">
        <v>977</v>
      </c>
      <c r="D57" s="13" t="s">
        <v>21</v>
      </c>
      <c r="E57" s="205">
        <v>8380</v>
      </c>
      <c r="F57" s="203">
        <v>46.65</v>
      </c>
      <c r="G57" s="202">
        <f t="shared" si="0"/>
        <v>390927</v>
      </c>
    </row>
    <row r="58" spans="1:7" x14ac:dyDescent="0.35">
      <c r="A58" s="13">
        <v>44</v>
      </c>
      <c r="B58" s="13" t="s">
        <v>30</v>
      </c>
      <c r="C58" s="201" t="s">
        <v>978</v>
      </c>
      <c r="D58" s="13" t="s">
        <v>21</v>
      </c>
      <c r="E58" s="205">
        <v>580</v>
      </c>
      <c r="F58" s="203">
        <v>62.75</v>
      </c>
      <c r="G58" s="202">
        <f t="shared" si="0"/>
        <v>36395</v>
      </c>
    </row>
    <row r="59" spans="1:7" x14ac:dyDescent="0.35">
      <c r="A59" s="13">
        <v>45</v>
      </c>
      <c r="B59" s="13" t="s">
        <v>939</v>
      </c>
      <c r="C59" s="201" t="s">
        <v>201</v>
      </c>
      <c r="D59" s="13" t="s">
        <v>16</v>
      </c>
      <c r="E59" s="205">
        <v>33</v>
      </c>
      <c r="F59" s="203">
        <v>680</v>
      </c>
      <c r="G59" s="202">
        <f t="shared" si="0"/>
        <v>22440</v>
      </c>
    </row>
    <row r="60" spans="1:7" x14ac:dyDescent="0.35">
      <c r="A60" s="13">
        <v>46</v>
      </c>
      <c r="B60" s="13" t="s">
        <v>347</v>
      </c>
      <c r="C60" s="201" t="s">
        <v>979</v>
      </c>
      <c r="D60" s="13" t="s">
        <v>16</v>
      </c>
      <c r="E60" s="205">
        <v>7</v>
      </c>
      <c r="F60" s="203">
        <v>5825</v>
      </c>
      <c r="G60" s="202">
        <f t="shared" si="0"/>
        <v>40775</v>
      </c>
    </row>
    <row r="61" spans="1:7" x14ac:dyDescent="0.35">
      <c r="A61" s="13">
        <v>47</v>
      </c>
      <c r="B61" s="13" t="s">
        <v>940</v>
      </c>
      <c r="C61" s="201" t="s">
        <v>980</v>
      </c>
      <c r="D61" s="13" t="s">
        <v>16</v>
      </c>
      <c r="E61" s="205">
        <v>6</v>
      </c>
      <c r="F61" s="203">
        <v>6280</v>
      </c>
      <c r="G61" s="202">
        <f t="shared" si="0"/>
        <v>37680</v>
      </c>
    </row>
    <row r="62" spans="1:7" x14ac:dyDescent="0.35">
      <c r="A62" s="13">
        <v>48</v>
      </c>
      <c r="B62" s="13" t="s">
        <v>941</v>
      </c>
      <c r="C62" s="201" t="s">
        <v>981</v>
      </c>
      <c r="D62" s="13" t="s">
        <v>16</v>
      </c>
      <c r="E62" s="205">
        <v>2</v>
      </c>
      <c r="F62" s="203">
        <v>8650</v>
      </c>
      <c r="G62" s="202">
        <f t="shared" si="0"/>
        <v>17300</v>
      </c>
    </row>
    <row r="63" spans="1:7" x14ac:dyDescent="0.35">
      <c r="A63" s="13">
        <v>49</v>
      </c>
      <c r="B63" s="13" t="s">
        <v>942</v>
      </c>
      <c r="C63" s="201" t="s">
        <v>982</v>
      </c>
      <c r="D63" s="13" t="s">
        <v>16</v>
      </c>
      <c r="E63" s="205">
        <v>4</v>
      </c>
      <c r="F63" s="203">
        <v>18000</v>
      </c>
      <c r="G63" s="202">
        <f t="shared" si="0"/>
        <v>72000</v>
      </c>
    </row>
    <row r="64" spans="1:7" x14ac:dyDescent="0.35">
      <c r="A64" s="13">
        <v>50</v>
      </c>
      <c r="B64" s="13" t="s">
        <v>59</v>
      </c>
      <c r="C64" s="201" t="s">
        <v>300</v>
      </c>
      <c r="D64" s="13" t="s">
        <v>460</v>
      </c>
      <c r="E64" s="205">
        <v>1500</v>
      </c>
      <c r="F64" s="203">
        <v>44.95</v>
      </c>
      <c r="G64" s="202">
        <f t="shared" si="0"/>
        <v>67425</v>
      </c>
    </row>
    <row r="65" spans="1:7" x14ac:dyDescent="0.35">
      <c r="A65" s="13">
        <v>51</v>
      </c>
      <c r="B65" s="13" t="s">
        <v>60</v>
      </c>
      <c r="C65" s="201" t="s">
        <v>117</v>
      </c>
      <c r="D65" s="13" t="s">
        <v>8</v>
      </c>
      <c r="E65" s="205">
        <v>4100</v>
      </c>
      <c r="F65" s="203">
        <v>5.6</v>
      </c>
      <c r="G65" s="202">
        <f t="shared" si="0"/>
        <v>22960</v>
      </c>
    </row>
    <row r="66" spans="1:7" x14ac:dyDescent="0.35">
      <c r="A66" s="13">
        <v>52</v>
      </c>
      <c r="B66" s="13" t="s">
        <v>943</v>
      </c>
      <c r="C66" s="201" t="s">
        <v>983</v>
      </c>
      <c r="D66" s="13" t="s">
        <v>8</v>
      </c>
      <c r="E66" s="205">
        <v>152700</v>
      </c>
      <c r="F66" s="203">
        <v>0.6</v>
      </c>
      <c r="G66" s="202">
        <f t="shared" si="0"/>
        <v>91620</v>
      </c>
    </row>
    <row r="67" spans="1:7" x14ac:dyDescent="0.35">
      <c r="A67" s="13">
        <v>53</v>
      </c>
      <c r="B67" s="13" t="s">
        <v>852</v>
      </c>
      <c r="C67" s="201" t="s">
        <v>984</v>
      </c>
      <c r="D67" s="13" t="s">
        <v>16</v>
      </c>
      <c r="E67" s="205">
        <v>1</v>
      </c>
      <c r="F67" s="203">
        <v>17000</v>
      </c>
      <c r="G67" s="202">
        <f t="shared" si="0"/>
        <v>17000</v>
      </c>
    </row>
    <row r="68" spans="1:7" x14ac:dyDescent="0.35">
      <c r="A68" s="13">
        <v>54</v>
      </c>
      <c r="B68" s="13" t="s">
        <v>944</v>
      </c>
      <c r="C68" s="201" t="s">
        <v>985</v>
      </c>
      <c r="D68" s="13" t="s">
        <v>16</v>
      </c>
      <c r="E68" s="205">
        <v>2</v>
      </c>
      <c r="F68" s="203">
        <v>10780</v>
      </c>
      <c r="G68" s="202">
        <f t="shared" si="0"/>
        <v>21560</v>
      </c>
    </row>
    <row r="69" spans="1:7" x14ac:dyDescent="0.35">
      <c r="A69" s="13">
        <v>55</v>
      </c>
      <c r="B69" s="13" t="s">
        <v>33</v>
      </c>
      <c r="C69" s="201" t="s">
        <v>986</v>
      </c>
      <c r="D69" s="13" t="s">
        <v>21</v>
      </c>
      <c r="E69" s="205">
        <v>30800</v>
      </c>
      <c r="F69" s="203">
        <v>1.95</v>
      </c>
      <c r="G69" s="202">
        <f t="shared" si="0"/>
        <v>60060</v>
      </c>
    </row>
    <row r="70" spans="1:7" ht="29" x14ac:dyDescent="0.35">
      <c r="A70" s="13">
        <v>56</v>
      </c>
      <c r="B70" s="13" t="s">
        <v>34</v>
      </c>
      <c r="C70" s="207" t="s">
        <v>987</v>
      </c>
      <c r="D70" s="13" t="s">
        <v>21</v>
      </c>
      <c r="E70" s="205">
        <v>25100</v>
      </c>
      <c r="F70" s="203">
        <v>1.7</v>
      </c>
      <c r="G70" s="202">
        <f t="shared" si="0"/>
        <v>42670</v>
      </c>
    </row>
    <row r="71" spans="1:7" x14ac:dyDescent="0.35">
      <c r="A71" s="13">
        <v>57</v>
      </c>
      <c r="B71" s="13" t="s">
        <v>35</v>
      </c>
      <c r="C71" s="201" t="s">
        <v>988</v>
      </c>
      <c r="D71" s="13" t="s">
        <v>21</v>
      </c>
      <c r="E71" s="205">
        <v>5000</v>
      </c>
      <c r="F71" s="203">
        <v>1.4</v>
      </c>
      <c r="G71" s="202">
        <f t="shared" si="0"/>
        <v>7000</v>
      </c>
    </row>
    <row r="72" spans="1:7" ht="29" x14ac:dyDescent="0.35">
      <c r="A72" s="13">
        <v>58</v>
      </c>
      <c r="B72" s="13" t="s">
        <v>36</v>
      </c>
      <c r="C72" s="207" t="s">
        <v>989</v>
      </c>
      <c r="D72" s="13" t="s">
        <v>21</v>
      </c>
      <c r="E72" s="205">
        <v>13100</v>
      </c>
      <c r="F72" s="203">
        <v>1.6</v>
      </c>
      <c r="G72" s="202">
        <f t="shared" si="0"/>
        <v>20960</v>
      </c>
    </row>
    <row r="73" spans="1:7" x14ac:dyDescent="0.35">
      <c r="A73" s="13">
        <v>59</v>
      </c>
      <c r="B73" s="13" t="s">
        <v>134</v>
      </c>
      <c r="C73" s="201" t="s">
        <v>990</v>
      </c>
      <c r="D73" s="13" t="s">
        <v>21</v>
      </c>
      <c r="E73" s="205">
        <v>10900</v>
      </c>
      <c r="F73" s="203">
        <v>4</v>
      </c>
      <c r="G73" s="202">
        <f t="shared" si="0"/>
        <v>43600</v>
      </c>
    </row>
    <row r="74" spans="1:7" x14ac:dyDescent="0.35">
      <c r="A74" s="13">
        <v>60</v>
      </c>
      <c r="B74" s="13" t="s">
        <v>862</v>
      </c>
      <c r="C74" s="201" t="s">
        <v>991</v>
      </c>
      <c r="D74" s="13" t="s">
        <v>3</v>
      </c>
      <c r="E74" s="205">
        <v>1</v>
      </c>
      <c r="F74" s="203">
        <v>17000</v>
      </c>
      <c r="G74" s="202">
        <f t="shared" si="0"/>
        <v>17000</v>
      </c>
    </row>
    <row r="75" spans="1:7" x14ac:dyDescent="0.35">
      <c r="A75" s="13">
        <v>61</v>
      </c>
      <c r="B75" s="13" t="s">
        <v>864</v>
      </c>
      <c r="C75" s="201" t="s">
        <v>992</v>
      </c>
      <c r="D75" s="13" t="s">
        <v>3</v>
      </c>
      <c r="E75" s="205">
        <v>1</v>
      </c>
      <c r="F75" s="203">
        <v>22700</v>
      </c>
      <c r="G75" s="202">
        <f t="shared" si="0"/>
        <v>22700</v>
      </c>
    </row>
    <row r="76" spans="1:7" x14ac:dyDescent="0.35">
      <c r="A76" s="13">
        <v>62</v>
      </c>
      <c r="B76" s="13" t="s">
        <v>866</v>
      </c>
      <c r="C76" s="201" t="s">
        <v>993</v>
      </c>
      <c r="D76" s="13" t="s">
        <v>3</v>
      </c>
      <c r="E76" s="205">
        <v>1</v>
      </c>
      <c r="F76" s="203">
        <v>9650</v>
      </c>
      <c r="G76" s="202">
        <f t="shared" si="0"/>
        <v>9650</v>
      </c>
    </row>
    <row r="77" spans="1:7" x14ac:dyDescent="0.35">
      <c r="A77" s="13">
        <v>63</v>
      </c>
      <c r="B77" s="13" t="s">
        <v>879</v>
      </c>
      <c r="C77" s="201" t="s">
        <v>994</v>
      </c>
      <c r="D77" s="13" t="s">
        <v>3</v>
      </c>
      <c r="E77" s="205">
        <v>1</v>
      </c>
      <c r="F77" s="203">
        <v>39700</v>
      </c>
      <c r="G77" s="202">
        <f t="shared" si="0"/>
        <v>39700</v>
      </c>
    </row>
    <row r="78" spans="1:7" x14ac:dyDescent="0.35">
      <c r="A78" s="13">
        <v>64</v>
      </c>
      <c r="B78" s="13" t="s">
        <v>37</v>
      </c>
      <c r="C78" s="201" t="s">
        <v>995</v>
      </c>
      <c r="D78" s="13" t="s">
        <v>21</v>
      </c>
      <c r="E78" s="205">
        <v>22600</v>
      </c>
      <c r="F78" s="203">
        <v>10.199999999999999</v>
      </c>
      <c r="G78" s="202">
        <f t="shared" si="0"/>
        <v>230519.99999999997</v>
      </c>
    </row>
    <row r="79" spans="1:7" x14ac:dyDescent="0.35">
      <c r="A79" s="13">
        <v>65</v>
      </c>
      <c r="B79" s="13" t="s">
        <v>38</v>
      </c>
      <c r="C79" s="201" t="s">
        <v>996</v>
      </c>
      <c r="D79" s="13" t="s">
        <v>21</v>
      </c>
      <c r="E79" s="205">
        <v>500</v>
      </c>
      <c r="F79" s="203">
        <v>19.3</v>
      </c>
      <c r="G79" s="202">
        <f t="shared" ref="G79:G106" si="1">SUM(E79*F79)</f>
        <v>9650</v>
      </c>
    </row>
    <row r="80" spans="1:7" x14ac:dyDescent="0.35">
      <c r="A80" s="13">
        <v>66</v>
      </c>
      <c r="B80" s="13" t="s">
        <v>39</v>
      </c>
      <c r="C80" s="201" t="s">
        <v>997</v>
      </c>
      <c r="D80" s="13" t="s">
        <v>21</v>
      </c>
      <c r="E80" s="205">
        <v>900</v>
      </c>
      <c r="F80" s="203">
        <v>45.4</v>
      </c>
      <c r="G80" s="202">
        <f t="shared" si="1"/>
        <v>40860</v>
      </c>
    </row>
    <row r="81" spans="1:7" x14ac:dyDescent="0.35">
      <c r="A81" s="13">
        <v>67</v>
      </c>
      <c r="B81" s="13" t="s">
        <v>391</v>
      </c>
      <c r="C81" s="201" t="s">
        <v>998</v>
      </c>
      <c r="D81" s="13" t="s">
        <v>21</v>
      </c>
      <c r="E81" s="205">
        <v>400</v>
      </c>
      <c r="F81" s="203">
        <v>34</v>
      </c>
      <c r="G81" s="202">
        <f t="shared" si="1"/>
        <v>13600</v>
      </c>
    </row>
    <row r="82" spans="1:7" x14ac:dyDescent="0.35">
      <c r="A82" s="13">
        <v>68</v>
      </c>
      <c r="B82" s="13" t="s">
        <v>945</v>
      </c>
      <c r="C82" s="201" t="s">
        <v>999</v>
      </c>
      <c r="D82" s="13" t="s">
        <v>21</v>
      </c>
      <c r="E82" s="205">
        <v>300</v>
      </c>
      <c r="F82" s="203">
        <v>45.4</v>
      </c>
      <c r="G82" s="202">
        <f t="shared" si="1"/>
        <v>13620</v>
      </c>
    </row>
    <row r="83" spans="1:7" x14ac:dyDescent="0.35">
      <c r="A83" s="13">
        <v>69</v>
      </c>
      <c r="B83" s="13" t="s">
        <v>946</v>
      </c>
      <c r="C83" s="201" t="s">
        <v>1000</v>
      </c>
      <c r="D83" s="13" t="s">
        <v>21</v>
      </c>
      <c r="E83" s="205">
        <v>200</v>
      </c>
      <c r="F83" s="203">
        <v>68.099999999999994</v>
      </c>
      <c r="G83" s="202">
        <f t="shared" si="1"/>
        <v>13619.999999999998</v>
      </c>
    </row>
    <row r="84" spans="1:7" x14ac:dyDescent="0.35">
      <c r="A84" s="13">
        <v>70</v>
      </c>
      <c r="B84" s="13" t="s">
        <v>947</v>
      </c>
      <c r="C84" s="201" t="s">
        <v>1001</v>
      </c>
      <c r="D84" s="13" t="s">
        <v>21</v>
      </c>
      <c r="E84" s="205">
        <v>200</v>
      </c>
      <c r="F84" s="203">
        <v>85</v>
      </c>
      <c r="G84" s="202">
        <f t="shared" si="1"/>
        <v>17000</v>
      </c>
    </row>
    <row r="85" spans="1:7" x14ac:dyDescent="0.35">
      <c r="A85" s="13">
        <v>71</v>
      </c>
      <c r="B85" s="13" t="s">
        <v>948</v>
      </c>
      <c r="C85" s="201" t="s">
        <v>1002</v>
      </c>
      <c r="D85" s="13" t="s">
        <v>21</v>
      </c>
      <c r="E85" s="205">
        <v>500</v>
      </c>
      <c r="F85" s="203">
        <v>107.8</v>
      </c>
      <c r="G85" s="202">
        <f t="shared" si="1"/>
        <v>53900</v>
      </c>
    </row>
    <row r="86" spans="1:7" x14ac:dyDescent="0.35">
      <c r="A86" s="13">
        <v>72</v>
      </c>
      <c r="B86" s="13" t="s">
        <v>40</v>
      </c>
      <c r="C86" s="201" t="s">
        <v>1003</v>
      </c>
      <c r="D86" s="13" t="s">
        <v>16</v>
      </c>
      <c r="E86" s="205">
        <v>5</v>
      </c>
      <c r="F86" s="203">
        <v>1600</v>
      </c>
      <c r="G86" s="202">
        <f t="shared" si="1"/>
        <v>8000</v>
      </c>
    </row>
    <row r="87" spans="1:7" x14ac:dyDescent="0.35">
      <c r="A87" s="13">
        <v>73</v>
      </c>
      <c r="B87" s="13" t="s">
        <v>41</v>
      </c>
      <c r="C87" s="201" t="s">
        <v>1004</v>
      </c>
      <c r="D87" s="13" t="s">
        <v>16</v>
      </c>
      <c r="E87" s="205">
        <v>1</v>
      </c>
      <c r="F87" s="203">
        <v>3200</v>
      </c>
      <c r="G87" s="202">
        <f t="shared" si="1"/>
        <v>3200</v>
      </c>
    </row>
    <row r="88" spans="1:7" x14ac:dyDescent="0.35">
      <c r="A88" s="13">
        <v>74</v>
      </c>
      <c r="B88" s="13" t="s">
        <v>142</v>
      </c>
      <c r="C88" s="201" t="s">
        <v>1005</v>
      </c>
      <c r="D88" s="13" t="s">
        <v>16</v>
      </c>
      <c r="E88" s="205">
        <v>5</v>
      </c>
      <c r="F88" s="203">
        <v>4800</v>
      </c>
      <c r="G88" s="202">
        <f t="shared" si="1"/>
        <v>24000</v>
      </c>
    </row>
    <row r="89" spans="1:7" x14ac:dyDescent="0.35">
      <c r="A89" s="13">
        <v>75</v>
      </c>
      <c r="B89" s="13" t="s">
        <v>949</v>
      </c>
      <c r="C89" s="201" t="s">
        <v>1006</v>
      </c>
      <c r="D89" s="13" t="s">
        <v>16</v>
      </c>
      <c r="E89" s="205">
        <v>3</v>
      </c>
      <c r="F89" s="203">
        <v>6500</v>
      </c>
      <c r="G89" s="202">
        <f t="shared" si="1"/>
        <v>19500</v>
      </c>
    </row>
    <row r="90" spans="1:7" x14ac:dyDescent="0.35">
      <c r="A90" s="13">
        <v>76</v>
      </c>
      <c r="B90" s="13" t="s">
        <v>950</v>
      </c>
      <c r="C90" s="201" t="s">
        <v>1007</v>
      </c>
      <c r="D90" s="13" t="s">
        <v>16</v>
      </c>
      <c r="E90" s="205">
        <v>7</v>
      </c>
      <c r="F90" s="203">
        <v>9000</v>
      </c>
      <c r="G90" s="202">
        <f t="shared" si="1"/>
        <v>63000</v>
      </c>
    </row>
    <row r="91" spans="1:7" x14ac:dyDescent="0.35">
      <c r="A91" s="13">
        <v>77</v>
      </c>
      <c r="B91" s="13" t="s">
        <v>42</v>
      </c>
      <c r="C91" s="201" t="s">
        <v>1008</v>
      </c>
      <c r="D91" s="13" t="s">
        <v>16</v>
      </c>
      <c r="E91" s="205">
        <v>33</v>
      </c>
      <c r="F91" s="203">
        <v>1650</v>
      </c>
      <c r="G91" s="202">
        <f t="shared" si="1"/>
        <v>54450</v>
      </c>
    </row>
    <row r="92" spans="1:7" x14ac:dyDescent="0.35">
      <c r="A92" s="13">
        <v>78</v>
      </c>
      <c r="B92" s="13" t="s">
        <v>43</v>
      </c>
      <c r="C92" s="201" t="s">
        <v>1009</v>
      </c>
      <c r="D92" s="13" t="s">
        <v>16</v>
      </c>
      <c r="E92" s="205">
        <v>16</v>
      </c>
      <c r="F92" s="203">
        <v>1750</v>
      </c>
      <c r="G92" s="202">
        <f t="shared" si="1"/>
        <v>28000</v>
      </c>
    </row>
    <row r="93" spans="1:7" x14ac:dyDescent="0.35">
      <c r="A93" s="13">
        <v>79</v>
      </c>
      <c r="B93" s="13" t="s">
        <v>44</v>
      </c>
      <c r="C93" s="201" t="s">
        <v>1010</v>
      </c>
      <c r="D93" s="13" t="s">
        <v>16</v>
      </c>
      <c r="E93" s="205">
        <v>177</v>
      </c>
      <c r="F93" s="203">
        <v>1300</v>
      </c>
      <c r="G93" s="202">
        <f t="shared" si="1"/>
        <v>230100</v>
      </c>
    </row>
    <row r="94" spans="1:7" x14ac:dyDescent="0.35">
      <c r="A94" s="13">
        <v>80</v>
      </c>
      <c r="B94" s="13" t="s">
        <v>45</v>
      </c>
      <c r="C94" s="201" t="s">
        <v>1011</v>
      </c>
      <c r="D94" s="13" t="s">
        <v>16</v>
      </c>
      <c r="E94" s="205">
        <v>7</v>
      </c>
      <c r="F94" s="203">
        <v>5600</v>
      </c>
      <c r="G94" s="202">
        <f t="shared" si="1"/>
        <v>39200</v>
      </c>
    </row>
    <row r="95" spans="1:7" x14ac:dyDescent="0.35">
      <c r="A95" s="13">
        <v>81</v>
      </c>
      <c r="B95" s="13" t="s">
        <v>146</v>
      </c>
      <c r="C95" s="201" t="s">
        <v>1012</v>
      </c>
      <c r="D95" s="13" t="s">
        <v>16</v>
      </c>
      <c r="E95" s="205">
        <v>2</v>
      </c>
      <c r="F95" s="203">
        <v>6350</v>
      </c>
      <c r="G95" s="202">
        <f t="shared" si="1"/>
        <v>12700</v>
      </c>
    </row>
    <row r="96" spans="1:7" x14ac:dyDescent="0.35">
      <c r="A96" s="13">
        <v>82</v>
      </c>
      <c r="B96" s="13" t="s">
        <v>319</v>
      </c>
      <c r="C96" s="201" t="s">
        <v>1013</v>
      </c>
      <c r="D96" s="13" t="s">
        <v>16</v>
      </c>
      <c r="E96" s="205">
        <v>2</v>
      </c>
      <c r="F96" s="203">
        <v>16500</v>
      </c>
      <c r="G96" s="202">
        <f t="shared" si="1"/>
        <v>33000</v>
      </c>
    </row>
    <row r="97" spans="1:7" x14ac:dyDescent="0.35">
      <c r="A97" s="13">
        <v>83</v>
      </c>
      <c r="B97" s="13" t="s">
        <v>148</v>
      </c>
      <c r="C97" s="201" t="s">
        <v>1014</v>
      </c>
      <c r="D97" s="13" t="s">
        <v>16</v>
      </c>
      <c r="E97" s="205">
        <v>2</v>
      </c>
      <c r="F97" s="203">
        <v>26500</v>
      </c>
      <c r="G97" s="202">
        <f t="shared" si="1"/>
        <v>53000</v>
      </c>
    </row>
    <row r="98" spans="1:7" x14ac:dyDescent="0.35">
      <c r="A98" s="13">
        <v>84</v>
      </c>
      <c r="B98" s="13" t="s">
        <v>951</v>
      </c>
      <c r="C98" s="201" t="s">
        <v>1015</v>
      </c>
      <c r="D98" s="13" t="s">
        <v>21</v>
      </c>
      <c r="E98" s="205">
        <v>5700</v>
      </c>
      <c r="F98" s="203">
        <v>1.7</v>
      </c>
      <c r="G98" s="202">
        <f t="shared" si="1"/>
        <v>9690</v>
      </c>
    </row>
    <row r="99" spans="1:7" x14ac:dyDescent="0.35">
      <c r="A99" s="13">
        <v>85</v>
      </c>
      <c r="B99" s="13" t="s">
        <v>952</v>
      </c>
      <c r="C99" s="201" t="s">
        <v>1016</v>
      </c>
      <c r="D99" s="13" t="s">
        <v>16</v>
      </c>
      <c r="E99" s="205">
        <v>194</v>
      </c>
      <c r="F99" s="203">
        <v>85</v>
      </c>
      <c r="G99" s="202">
        <f t="shared" si="1"/>
        <v>16490</v>
      </c>
    </row>
    <row r="100" spans="1:7" x14ac:dyDescent="0.35">
      <c r="A100" s="13">
        <v>86</v>
      </c>
      <c r="B100" s="13" t="s">
        <v>953</v>
      </c>
      <c r="C100" s="201" t="s">
        <v>1017</v>
      </c>
      <c r="D100" s="13" t="s">
        <v>21</v>
      </c>
      <c r="E100" s="205">
        <v>18300</v>
      </c>
      <c r="F100" s="203">
        <v>1.7</v>
      </c>
      <c r="G100" s="202">
        <f t="shared" si="1"/>
        <v>31110</v>
      </c>
    </row>
    <row r="101" spans="1:7" x14ac:dyDescent="0.35">
      <c r="A101" s="13">
        <v>87</v>
      </c>
      <c r="B101" s="13" t="s">
        <v>954</v>
      </c>
      <c r="C101" s="201" t="s">
        <v>1018</v>
      </c>
      <c r="D101" s="13" t="s">
        <v>16</v>
      </c>
      <c r="E101" s="205">
        <v>8</v>
      </c>
      <c r="F101" s="203">
        <v>625</v>
      </c>
      <c r="G101" s="202">
        <f t="shared" si="1"/>
        <v>5000</v>
      </c>
    </row>
    <row r="102" spans="1:7" x14ac:dyDescent="0.35">
      <c r="A102" s="13">
        <v>88</v>
      </c>
      <c r="B102" s="13" t="s">
        <v>955</v>
      </c>
      <c r="C102" s="201" t="s">
        <v>1019</v>
      </c>
      <c r="D102" s="13" t="s">
        <v>16</v>
      </c>
      <c r="E102" s="205">
        <v>2</v>
      </c>
      <c r="F102" s="203">
        <v>1150</v>
      </c>
      <c r="G102" s="202">
        <f t="shared" si="1"/>
        <v>2300</v>
      </c>
    </row>
    <row r="103" spans="1:7" x14ac:dyDescent="0.35">
      <c r="A103" s="13">
        <v>89</v>
      </c>
      <c r="B103" s="13" t="s">
        <v>956</v>
      </c>
      <c r="C103" s="201" t="s">
        <v>1020</v>
      </c>
      <c r="D103" s="13" t="s">
        <v>16</v>
      </c>
      <c r="E103" s="205">
        <v>2</v>
      </c>
      <c r="F103" s="203">
        <v>400</v>
      </c>
      <c r="G103" s="202">
        <f t="shared" si="1"/>
        <v>800</v>
      </c>
    </row>
    <row r="104" spans="1:7" x14ac:dyDescent="0.35">
      <c r="A104" s="13">
        <v>90</v>
      </c>
      <c r="B104" s="13" t="s">
        <v>957</v>
      </c>
      <c r="C104" s="201" t="s">
        <v>1021</v>
      </c>
      <c r="D104" s="13" t="s">
        <v>3</v>
      </c>
      <c r="E104" s="205">
        <v>1</v>
      </c>
      <c r="F104" s="203">
        <v>807000</v>
      </c>
      <c r="G104" s="202">
        <f t="shared" si="1"/>
        <v>807000</v>
      </c>
    </row>
    <row r="105" spans="1:7" x14ac:dyDescent="0.35">
      <c r="A105" s="13">
        <v>91</v>
      </c>
      <c r="B105" s="13" t="s">
        <v>958</v>
      </c>
      <c r="C105" s="201" t="s">
        <v>1022</v>
      </c>
      <c r="D105" s="13" t="s">
        <v>3</v>
      </c>
      <c r="E105" s="205">
        <v>1</v>
      </c>
      <c r="F105" s="203">
        <v>375000</v>
      </c>
      <c r="G105" s="202">
        <f t="shared" si="1"/>
        <v>375000</v>
      </c>
    </row>
    <row r="106" spans="1:7" ht="15" thickBot="1" x14ac:dyDescent="0.4">
      <c r="A106" s="13">
        <v>92</v>
      </c>
      <c r="B106" s="13" t="s">
        <v>959</v>
      </c>
      <c r="C106" s="201" t="s">
        <v>1023</v>
      </c>
      <c r="D106" s="13" t="s">
        <v>3</v>
      </c>
      <c r="E106" s="205">
        <v>1</v>
      </c>
      <c r="F106" s="203">
        <v>20000</v>
      </c>
      <c r="G106" s="202">
        <f t="shared" si="1"/>
        <v>20000</v>
      </c>
    </row>
    <row r="107" spans="1:7" ht="16" thickBot="1" x14ac:dyDescent="0.4">
      <c r="E107" s="261" t="s">
        <v>1032</v>
      </c>
      <c r="F107" s="262"/>
      <c r="G107" s="206">
        <f>SUM(G15:G106)</f>
        <v>7999934</v>
      </c>
    </row>
    <row r="108" spans="1:7" x14ac:dyDescent="0.35">
      <c r="F108" s="265"/>
      <c r="G108" s="266"/>
    </row>
    <row r="109" spans="1:7" ht="15" thickBot="1" x14ac:dyDescent="0.4"/>
    <row r="110" spans="1:7" ht="15.5" x14ac:dyDescent="0.35">
      <c r="A110" s="256" t="s">
        <v>1024</v>
      </c>
      <c r="B110" s="257"/>
      <c r="C110" s="257"/>
      <c r="D110" s="257"/>
      <c r="E110" s="258"/>
    </row>
    <row r="111" spans="1:7" s="201" customFormat="1" ht="16" thickBot="1" x14ac:dyDescent="0.4">
      <c r="A111" s="208" t="s">
        <v>62</v>
      </c>
      <c r="B111" s="209" t="s">
        <v>98</v>
      </c>
      <c r="C111" s="209" t="s">
        <v>0</v>
      </c>
      <c r="D111" s="209" t="s">
        <v>1</v>
      </c>
      <c r="E111" s="210" t="s">
        <v>1025</v>
      </c>
      <c r="F111" s="211" t="s">
        <v>262</v>
      </c>
      <c r="G111" s="212" t="s">
        <v>94</v>
      </c>
    </row>
    <row r="112" spans="1:7" ht="15.5" x14ac:dyDescent="0.35">
      <c r="A112" s="214">
        <v>1</v>
      </c>
      <c r="B112" s="214" t="s">
        <v>276</v>
      </c>
      <c r="C112" s="223" t="s">
        <v>1026</v>
      </c>
      <c r="D112" s="214" t="s">
        <v>21</v>
      </c>
      <c r="E112" s="226">
        <v>700</v>
      </c>
      <c r="F112" s="215">
        <v>0.7</v>
      </c>
      <c r="G112" s="202">
        <f t="shared" ref="G112:G115" si="2">SUM(E112*F112)</f>
        <v>489.99999999999994</v>
      </c>
    </row>
    <row r="113" spans="1:7" x14ac:dyDescent="0.35">
      <c r="A113" s="213">
        <v>2</v>
      </c>
      <c r="B113" s="200" t="s">
        <v>382</v>
      </c>
      <c r="C113" s="199" t="s">
        <v>1027</v>
      </c>
      <c r="D113" s="200" t="s">
        <v>21</v>
      </c>
      <c r="E113" s="227">
        <v>8900</v>
      </c>
      <c r="F113" s="216">
        <v>10</v>
      </c>
      <c r="G113" s="202">
        <f t="shared" si="2"/>
        <v>89000</v>
      </c>
    </row>
    <row r="114" spans="1:7" x14ac:dyDescent="0.35">
      <c r="A114" s="213">
        <v>3</v>
      </c>
      <c r="B114" s="200" t="s">
        <v>47</v>
      </c>
      <c r="C114" s="199" t="s">
        <v>1028</v>
      </c>
      <c r="D114" s="200" t="s">
        <v>11</v>
      </c>
      <c r="E114" s="218">
        <v>200</v>
      </c>
      <c r="F114" s="216">
        <v>90</v>
      </c>
      <c r="G114" s="202">
        <f t="shared" si="2"/>
        <v>18000</v>
      </c>
    </row>
    <row r="115" spans="1:7" ht="15" thickBot="1" x14ac:dyDescent="0.4">
      <c r="A115" s="213">
        <v>4</v>
      </c>
      <c r="B115" s="200" t="s">
        <v>767</v>
      </c>
      <c r="C115" s="199" t="s">
        <v>1029</v>
      </c>
      <c r="D115" s="200" t="s">
        <v>11</v>
      </c>
      <c r="E115" s="227">
        <v>150</v>
      </c>
      <c r="F115" s="216">
        <v>88</v>
      </c>
      <c r="G115" s="202">
        <f t="shared" si="2"/>
        <v>13200</v>
      </c>
    </row>
    <row r="116" spans="1:7" ht="16" thickBot="1" x14ac:dyDescent="0.4">
      <c r="D116" s="252" t="s">
        <v>1030</v>
      </c>
      <c r="E116" s="253"/>
      <c r="F116" s="253"/>
      <c r="G116" s="219">
        <f>SUM(G112:G115)</f>
        <v>120690</v>
      </c>
    </row>
    <row r="117" spans="1:7" ht="15" thickBot="1" x14ac:dyDescent="0.4">
      <c r="D117" s="222"/>
      <c r="E117" s="222"/>
      <c r="F117" s="222"/>
    </row>
    <row r="118" spans="1:7" ht="16" thickBot="1" x14ac:dyDescent="0.4">
      <c r="D118" s="252" t="s">
        <v>1031</v>
      </c>
      <c r="E118" s="253"/>
      <c r="F118" s="253"/>
      <c r="G118" s="219">
        <f>SUM(G107,G116)</f>
        <v>8120624</v>
      </c>
    </row>
    <row r="119" spans="1:7" ht="15" thickBot="1" x14ac:dyDescent="0.4"/>
    <row r="120" spans="1:7" ht="15.5" x14ac:dyDescent="0.35">
      <c r="A120" s="256" t="s">
        <v>1041</v>
      </c>
      <c r="B120" s="257"/>
      <c r="C120" s="257"/>
      <c r="D120" s="257"/>
      <c r="E120" s="258"/>
    </row>
    <row r="121" spans="1:7" ht="16" thickBot="1" x14ac:dyDescent="0.4">
      <c r="A121" s="208" t="s">
        <v>62</v>
      </c>
      <c r="B121" s="209" t="s">
        <v>98</v>
      </c>
      <c r="C121" s="209" t="s">
        <v>0</v>
      </c>
      <c r="D121" s="209" t="s">
        <v>1</v>
      </c>
      <c r="E121" s="210" t="s">
        <v>1025</v>
      </c>
      <c r="F121" s="224" t="s">
        <v>262</v>
      </c>
      <c r="G121" s="225" t="s">
        <v>94</v>
      </c>
    </row>
    <row r="122" spans="1:7" ht="15.5" x14ac:dyDescent="0.35">
      <c r="A122" s="214">
        <v>1</v>
      </c>
      <c r="B122" s="214" t="s">
        <v>897</v>
      </c>
      <c r="C122" s="223" t="s">
        <v>898</v>
      </c>
      <c r="D122" s="218" t="s">
        <v>3</v>
      </c>
      <c r="E122" s="226">
        <v>1</v>
      </c>
      <c r="F122" s="202">
        <v>29000</v>
      </c>
      <c r="G122" s="202">
        <v>29000</v>
      </c>
    </row>
    <row r="123" spans="1:7" ht="15.5" x14ac:dyDescent="0.35">
      <c r="A123" s="214">
        <v>2</v>
      </c>
      <c r="B123" s="214" t="s">
        <v>266</v>
      </c>
      <c r="C123" s="223" t="s">
        <v>267</v>
      </c>
      <c r="D123" s="218" t="s">
        <v>8</v>
      </c>
      <c r="E123" s="227">
        <v>7000</v>
      </c>
      <c r="F123" s="202">
        <v>0.55000000000000004</v>
      </c>
      <c r="G123" s="202">
        <v>3850</v>
      </c>
    </row>
    <row r="124" spans="1:7" ht="15.5" x14ac:dyDescent="0.35">
      <c r="A124" s="214">
        <v>3</v>
      </c>
      <c r="B124" s="214" t="s">
        <v>28</v>
      </c>
      <c r="C124" s="223" t="s">
        <v>102</v>
      </c>
      <c r="D124" s="218" t="s">
        <v>3</v>
      </c>
      <c r="E124" s="227">
        <v>1</v>
      </c>
      <c r="F124" s="202">
        <v>51500</v>
      </c>
      <c r="G124" s="202">
        <v>51500</v>
      </c>
    </row>
    <row r="125" spans="1:7" ht="15.5" x14ac:dyDescent="0.35">
      <c r="A125" s="214">
        <v>4</v>
      </c>
      <c r="B125" s="214" t="s">
        <v>380</v>
      </c>
      <c r="C125" s="223" t="s">
        <v>907</v>
      </c>
      <c r="D125" s="218" t="s">
        <v>8</v>
      </c>
      <c r="E125" s="227">
        <v>1590</v>
      </c>
      <c r="F125" s="202">
        <v>10.5</v>
      </c>
      <c r="G125" s="202">
        <v>16695</v>
      </c>
    </row>
    <row r="126" spans="1:7" ht="15.5" x14ac:dyDescent="0.35">
      <c r="A126" s="214">
        <v>5</v>
      </c>
      <c r="B126" s="214" t="s">
        <v>385</v>
      </c>
      <c r="C126" s="223" t="s">
        <v>911</v>
      </c>
      <c r="D126" s="218" t="s">
        <v>21</v>
      </c>
      <c r="E126" s="227">
        <v>570</v>
      </c>
      <c r="F126" s="202">
        <v>2.9</v>
      </c>
      <c r="G126" s="202">
        <v>1653</v>
      </c>
    </row>
    <row r="127" spans="1:7" ht="15.5" x14ac:dyDescent="0.35">
      <c r="A127" s="214">
        <v>6</v>
      </c>
      <c r="B127" s="214" t="s">
        <v>46</v>
      </c>
      <c r="C127" s="223" t="s">
        <v>213</v>
      </c>
      <c r="D127" s="218" t="s">
        <v>11</v>
      </c>
      <c r="E127" s="227">
        <v>690</v>
      </c>
      <c r="F127" s="202">
        <v>42.5</v>
      </c>
      <c r="G127" s="202">
        <v>29325</v>
      </c>
    </row>
    <row r="128" spans="1:7" ht="15.5" x14ac:dyDescent="0.35">
      <c r="A128" s="214">
        <v>7</v>
      </c>
      <c r="B128" s="214" t="s">
        <v>762</v>
      </c>
      <c r="C128" s="223" t="s">
        <v>1034</v>
      </c>
      <c r="D128" s="218" t="s">
        <v>11</v>
      </c>
      <c r="E128" s="227">
        <v>660</v>
      </c>
      <c r="F128" s="202">
        <v>16.5</v>
      </c>
      <c r="G128" s="202">
        <v>10890</v>
      </c>
    </row>
    <row r="129" spans="1:7" ht="15.5" x14ac:dyDescent="0.35">
      <c r="A129" s="214">
        <v>8</v>
      </c>
      <c r="B129" s="214" t="s">
        <v>333</v>
      </c>
      <c r="C129" s="223" t="s">
        <v>914</v>
      </c>
      <c r="D129" s="218" t="s">
        <v>11</v>
      </c>
      <c r="E129" s="227">
        <v>2100</v>
      </c>
      <c r="F129" s="202">
        <v>44.5</v>
      </c>
      <c r="G129" s="202">
        <v>93450</v>
      </c>
    </row>
    <row r="130" spans="1:7" ht="15.5" x14ac:dyDescent="0.35">
      <c r="A130" s="214">
        <v>9</v>
      </c>
      <c r="B130" s="214" t="s">
        <v>922</v>
      </c>
      <c r="C130" s="223" t="s">
        <v>913</v>
      </c>
      <c r="D130" s="218" t="s">
        <v>8</v>
      </c>
      <c r="E130" s="227">
        <v>6790</v>
      </c>
      <c r="F130" s="202">
        <v>3.7</v>
      </c>
      <c r="G130" s="202">
        <v>25123</v>
      </c>
    </row>
    <row r="131" spans="1:7" ht="15.5" x14ac:dyDescent="0.35">
      <c r="A131" s="214">
        <v>10</v>
      </c>
      <c r="B131" s="214" t="s">
        <v>923</v>
      </c>
      <c r="C131" s="223" t="s">
        <v>913</v>
      </c>
      <c r="D131" s="218" t="s">
        <v>51</v>
      </c>
      <c r="E131" s="227">
        <v>180</v>
      </c>
      <c r="F131" s="202">
        <v>215</v>
      </c>
      <c r="G131" s="202">
        <v>38700</v>
      </c>
    </row>
    <row r="132" spans="1:7" ht="15.5" x14ac:dyDescent="0.35">
      <c r="A132" s="214">
        <v>11</v>
      </c>
      <c r="B132" s="214" t="s">
        <v>49</v>
      </c>
      <c r="C132" s="223" t="s">
        <v>1035</v>
      </c>
      <c r="D132" s="218" t="s">
        <v>8</v>
      </c>
      <c r="E132" s="227">
        <v>6800</v>
      </c>
      <c r="F132" s="202">
        <v>8.8000000000000007</v>
      </c>
      <c r="G132" s="202">
        <v>59840</v>
      </c>
    </row>
    <row r="133" spans="1:7" ht="15.5" x14ac:dyDescent="0.35">
      <c r="A133" s="214">
        <v>12</v>
      </c>
      <c r="B133" s="214" t="s">
        <v>924</v>
      </c>
      <c r="C133" s="223" t="s">
        <v>338</v>
      </c>
      <c r="D133" s="218" t="s">
        <v>51</v>
      </c>
      <c r="E133" s="227">
        <v>210</v>
      </c>
      <c r="F133" s="202">
        <v>245</v>
      </c>
      <c r="G133" s="202">
        <v>51450</v>
      </c>
    </row>
    <row r="134" spans="1:7" ht="15.5" x14ac:dyDescent="0.35">
      <c r="A134" s="214">
        <v>13</v>
      </c>
      <c r="B134" s="214" t="s">
        <v>50</v>
      </c>
      <c r="C134" s="223" t="s">
        <v>1036</v>
      </c>
      <c r="D134" s="218" t="s">
        <v>51</v>
      </c>
      <c r="E134" s="227">
        <v>840</v>
      </c>
      <c r="F134" s="202">
        <v>150</v>
      </c>
      <c r="G134" s="202">
        <v>126000</v>
      </c>
    </row>
    <row r="135" spans="1:7" ht="15.5" x14ac:dyDescent="0.35">
      <c r="A135" s="214">
        <v>14</v>
      </c>
      <c r="B135" s="214" t="s">
        <v>339</v>
      </c>
      <c r="C135" s="223" t="s">
        <v>1037</v>
      </c>
      <c r="D135" s="218" t="s">
        <v>51</v>
      </c>
      <c r="E135" s="227">
        <v>1030</v>
      </c>
      <c r="F135" s="202">
        <v>155</v>
      </c>
      <c r="G135" s="202">
        <v>159650</v>
      </c>
    </row>
    <row r="136" spans="1:7" ht="15.5" x14ac:dyDescent="0.35">
      <c r="A136" s="214">
        <v>15</v>
      </c>
      <c r="B136" s="214" t="s">
        <v>285</v>
      </c>
      <c r="C136" s="223" t="s">
        <v>1038</v>
      </c>
      <c r="D136" s="218" t="s">
        <v>51</v>
      </c>
      <c r="E136" s="227">
        <v>200</v>
      </c>
      <c r="F136" s="202">
        <v>200</v>
      </c>
      <c r="G136" s="202">
        <v>40000</v>
      </c>
    </row>
    <row r="137" spans="1:7" ht="15.5" x14ac:dyDescent="0.35">
      <c r="A137" s="214">
        <v>16</v>
      </c>
      <c r="B137" s="214" t="s">
        <v>341</v>
      </c>
      <c r="C137" s="223" t="s">
        <v>342</v>
      </c>
      <c r="D137" s="218" t="s">
        <v>53</v>
      </c>
      <c r="E137" s="227">
        <v>2100</v>
      </c>
      <c r="F137" s="202">
        <v>7.6</v>
      </c>
      <c r="G137" s="202">
        <v>15960</v>
      </c>
    </row>
    <row r="138" spans="1:7" ht="15.5" x14ac:dyDescent="0.35">
      <c r="A138" s="214">
        <v>17</v>
      </c>
      <c r="B138" s="214" t="s">
        <v>287</v>
      </c>
      <c r="C138" s="223" t="s">
        <v>288</v>
      </c>
      <c r="D138" s="218" t="s">
        <v>53</v>
      </c>
      <c r="E138" s="227">
        <v>22500</v>
      </c>
      <c r="F138" s="202">
        <v>3.7</v>
      </c>
      <c r="G138" s="202">
        <v>9250</v>
      </c>
    </row>
    <row r="139" spans="1:7" ht="15.5" x14ac:dyDescent="0.35">
      <c r="A139" s="214">
        <v>18</v>
      </c>
      <c r="B139" s="214" t="s">
        <v>29</v>
      </c>
      <c r="C139" s="223" t="s">
        <v>977</v>
      </c>
      <c r="D139" s="218" t="s">
        <v>21</v>
      </c>
      <c r="E139" s="227">
        <v>840</v>
      </c>
      <c r="F139" s="202">
        <v>44.5</v>
      </c>
      <c r="G139" s="202">
        <v>37380</v>
      </c>
    </row>
    <row r="140" spans="1:7" ht="15.5" x14ac:dyDescent="0.35">
      <c r="A140" s="214">
        <v>19</v>
      </c>
      <c r="B140" s="214" t="s">
        <v>939</v>
      </c>
      <c r="C140" s="223" t="s">
        <v>201</v>
      </c>
      <c r="D140" s="218" t="s">
        <v>16</v>
      </c>
      <c r="E140" s="227">
        <v>2</v>
      </c>
      <c r="F140" s="202">
        <v>680</v>
      </c>
      <c r="G140" s="202">
        <v>1360</v>
      </c>
    </row>
    <row r="141" spans="1:7" ht="15.5" x14ac:dyDescent="0.35">
      <c r="A141" s="214">
        <v>20</v>
      </c>
      <c r="B141" s="214" t="s">
        <v>59</v>
      </c>
      <c r="C141" s="223" t="s">
        <v>300</v>
      </c>
      <c r="D141" s="218" t="s">
        <v>1033</v>
      </c>
      <c r="E141" s="227">
        <v>60</v>
      </c>
      <c r="F141" s="202">
        <v>45</v>
      </c>
      <c r="G141" s="202">
        <v>2700</v>
      </c>
    </row>
    <row r="142" spans="1:7" ht="15.5" x14ac:dyDescent="0.35">
      <c r="A142" s="214">
        <v>21</v>
      </c>
      <c r="B142" s="214" t="s">
        <v>60</v>
      </c>
      <c r="C142" s="223" t="s">
        <v>117</v>
      </c>
      <c r="D142" s="218" t="s">
        <v>8</v>
      </c>
      <c r="E142" s="227">
        <v>510</v>
      </c>
      <c r="F142" s="202">
        <v>5.65</v>
      </c>
      <c r="G142" s="202">
        <v>2881.5</v>
      </c>
    </row>
    <row r="143" spans="1:7" ht="15.5" x14ac:dyDescent="0.35">
      <c r="A143" s="214">
        <v>22</v>
      </c>
      <c r="B143" s="214" t="s">
        <v>943</v>
      </c>
      <c r="C143" s="223" t="s">
        <v>983</v>
      </c>
      <c r="D143" s="218" t="s">
        <v>8</v>
      </c>
      <c r="E143" s="227">
        <v>6460</v>
      </c>
      <c r="F143" s="202">
        <v>0.6</v>
      </c>
      <c r="G143" s="202">
        <v>3876</v>
      </c>
    </row>
    <row r="144" spans="1:7" ht="16" thickBot="1" x14ac:dyDescent="0.4">
      <c r="A144" s="214">
        <v>23</v>
      </c>
      <c r="B144" s="214" t="s">
        <v>958</v>
      </c>
      <c r="C144" s="223" t="s">
        <v>1039</v>
      </c>
      <c r="D144" s="218" t="s">
        <v>3</v>
      </c>
      <c r="E144" s="227">
        <v>1</v>
      </c>
      <c r="F144" s="202">
        <v>16000</v>
      </c>
      <c r="G144" s="202">
        <v>16000</v>
      </c>
    </row>
    <row r="145" spans="1:7" ht="16" thickBot="1" x14ac:dyDescent="0.4">
      <c r="D145" s="259" t="s">
        <v>1040</v>
      </c>
      <c r="E145" s="260"/>
      <c r="F145" s="260"/>
      <c r="G145" s="219">
        <f>SUM(G122:G144)</f>
        <v>826533.5</v>
      </c>
    </row>
    <row r="146" spans="1:7" ht="15" thickBot="1" x14ac:dyDescent="0.4"/>
    <row r="147" spans="1:7" ht="15.5" x14ac:dyDescent="0.35">
      <c r="A147" s="256" t="s">
        <v>1043</v>
      </c>
      <c r="B147" s="257"/>
      <c r="C147" s="257"/>
      <c r="D147" s="257"/>
      <c r="E147" s="258"/>
    </row>
    <row r="148" spans="1:7" s="201" customFormat="1" ht="16" thickBot="1" x14ac:dyDescent="0.4">
      <c r="A148" s="208" t="s">
        <v>62</v>
      </c>
      <c r="B148" s="209" t="s">
        <v>98</v>
      </c>
      <c r="C148" s="209" t="s">
        <v>0</v>
      </c>
      <c r="D148" s="209" t="s">
        <v>1</v>
      </c>
      <c r="E148" s="210" t="s">
        <v>1025</v>
      </c>
      <c r="F148" s="211" t="s">
        <v>262</v>
      </c>
      <c r="G148" s="212" t="s">
        <v>94</v>
      </c>
    </row>
    <row r="149" spans="1:7" ht="15.5" x14ac:dyDescent="0.35">
      <c r="A149" s="214">
        <v>1</v>
      </c>
      <c r="B149" s="214" t="s">
        <v>382</v>
      </c>
      <c r="C149" s="223" t="s">
        <v>1027</v>
      </c>
      <c r="D149" s="214" t="s">
        <v>21</v>
      </c>
      <c r="E149" s="226">
        <v>2200</v>
      </c>
      <c r="F149" s="215">
        <v>10</v>
      </c>
      <c r="G149" s="202">
        <f t="shared" ref="G149:G151" si="3">SUM(E149*F149)</f>
        <v>22000</v>
      </c>
    </row>
    <row r="150" spans="1:7" x14ac:dyDescent="0.35">
      <c r="A150" s="213">
        <v>2</v>
      </c>
      <c r="B150" s="218" t="s">
        <v>47</v>
      </c>
      <c r="C150" s="217" t="s">
        <v>1028</v>
      </c>
      <c r="D150" s="218" t="s">
        <v>11</v>
      </c>
      <c r="E150" s="227">
        <v>50</v>
      </c>
      <c r="F150" s="216">
        <v>90</v>
      </c>
      <c r="G150" s="202">
        <f t="shared" si="3"/>
        <v>4500</v>
      </c>
    </row>
    <row r="151" spans="1:7" ht="15" thickBot="1" x14ac:dyDescent="0.4">
      <c r="A151" s="213">
        <v>3</v>
      </c>
      <c r="B151" s="218" t="s">
        <v>767</v>
      </c>
      <c r="C151" s="217" t="s">
        <v>1029</v>
      </c>
      <c r="D151" s="218" t="s">
        <v>11</v>
      </c>
      <c r="E151" s="228">
        <v>250</v>
      </c>
      <c r="F151" s="216">
        <v>75</v>
      </c>
      <c r="G151" s="202">
        <f t="shared" si="3"/>
        <v>18750</v>
      </c>
    </row>
    <row r="152" spans="1:7" ht="16" thickBot="1" x14ac:dyDescent="0.4">
      <c r="D152" s="252" t="s">
        <v>1042</v>
      </c>
      <c r="E152" s="253"/>
      <c r="F152" s="253"/>
      <c r="G152" s="219">
        <f>SUM(G149:G151)</f>
        <v>45250</v>
      </c>
    </row>
    <row r="154" spans="1:7" ht="14.5" customHeight="1" thickBot="1" x14ac:dyDescent="0.4"/>
    <row r="155" spans="1:7" ht="15.5" x14ac:dyDescent="0.35">
      <c r="A155" s="256" t="s">
        <v>1044</v>
      </c>
      <c r="B155" s="257"/>
      <c r="C155" s="257"/>
      <c r="D155" s="257"/>
      <c r="E155" s="258"/>
    </row>
    <row r="156" spans="1:7" s="201" customFormat="1" ht="16" thickBot="1" x14ac:dyDescent="0.4">
      <c r="A156" s="208" t="s">
        <v>62</v>
      </c>
      <c r="B156" s="209" t="s">
        <v>98</v>
      </c>
      <c r="C156" s="209" t="s">
        <v>0</v>
      </c>
      <c r="D156" s="209" t="s">
        <v>1</v>
      </c>
      <c r="E156" s="210" t="s">
        <v>1025</v>
      </c>
      <c r="F156" s="211" t="s">
        <v>262</v>
      </c>
      <c r="G156" s="212" t="s">
        <v>94</v>
      </c>
    </row>
    <row r="157" spans="1:7" ht="15.5" x14ac:dyDescent="0.35">
      <c r="A157" s="214">
        <v>1</v>
      </c>
      <c r="B157" s="214" t="s">
        <v>276</v>
      </c>
      <c r="C157" s="223" t="s">
        <v>905</v>
      </c>
      <c r="D157" s="214" t="s">
        <v>21</v>
      </c>
      <c r="E157" s="226">
        <v>-4800</v>
      </c>
      <c r="F157" s="215">
        <v>0.7</v>
      </c>
      <c r="G157" s="202">
        <f t="shared" ref="G157:G159" si="4">SUM(E157*F157)</f>
        <v>-3360</v>
      </c>
    </row>
    <row r="158" spans="1:7" x14ac:dyDescent="0.35">
      <c r="A158" s="213">
        <v>2</v>
      </c>
      <c r="B158" s="218" t="s">
        <v>385</v>
      </c>
      <c r="C158" s="217" t="s">
        <v>1045</v>
      </c>
      <c r="D158" s="218" t="s">
        <v>21</v>
      </c>
      <c r="E158" s="227">
        <v>-303</v>
      </c>
      <c r="F158" s="216">
        <v>2.9</v>
      </c>
      <c r="G158" s="202">
        <f t="shared" si="4"/>
        <v>-878.69999999999993</v>
      </c>
    </row>
    <row r="159" spans="1:7" ht="15" thickBot="1" x14ac:dyDescent="0.4">
      <c r="A159" s="213">
        <v>3</v>
      </c>
      <c r="B159" s="218" t="s">
        <v>935</v>
      </c>
      <c r="C159" s="217" t="s">
        <v>972</v>
      </c>
      <c r="D159" s="218" t="s">
        <v>8</v>
      </c>
      <c r="E159" s="228">
        <v>-6670</v>
      </c>
      <c r="F159" s="216">
        <v>4.45</v>
      </c>
      <c r="G159" s="202">
        <f t="shared" si="4"/>
        <v>-29681.5</v>
      </c>
    </row>
    <row r="160" spans="1:7" ht="16" thickBot="1" x14ac:dyDescent="0.4">
      <c r="D160" s="252" t="s">
        <v>1046</v>
      </c>
      <c r="E160" s="253"/>
      <c r="F160" s="253"/>
      <c r="G160" s="219">
        <f>SUM(G157:G159)</f>
        <v>-33920.199999999997</v>
      </c>
    </row>
    <row r="162" spans="1:7" ht="15" thickBot="1" x14ac:dyDescent="0.4"/>
    <row r="163" spans="1:7" ht="15.5" x14ac:dyDescent="0.35">
      <c r="A163" s="256" t="s">
        <v>1044</v>
      </c>
      <c r="B163" s="257"/>
      <c r="C163" s="257"/>
      <c r="D163" s="257"/>
      <c r="E163" s="258"/>
    </row>
    <row r="164" spans="1:7" s="201" customFormat="1" ht="16" thickBot="1" x14ac:dyDescent="0.4">
      <c r="A164" s="208" t="s">
        <v>62</v>
      </c>
      <c r="B164" s="209" t="s">
        <v>98</v>
      </c>
      <c r="C164" s="209" t="s">
        <v>0</v>
      </c>
      <c r="D164" s="209" t="s">
        <v>1</v>
      </c>
      <c r="E164" s="210" t="s">
        <v>1025</v>
      </c>
      <c r="F164" s="211" t="s">
        <v>262</v>
      </c>
      <c r="G164" s="212" t="s">
        <v>94</v>
      </c>
    </row>
    <row r="165" spans="1:7" ht="16" thickBot="1" x14ac:dyDescent="0.4">
      <c r="A165" s="214">
        <v>1</v>
      </c>
      <c r="B165" s="214" t="s">
        <v>276</v>
      </c>
      <c r="C165" s="223" t="s">
        <v>1026</v>
      </c>
      <c r="D165" s="214" t="s">
        <v>21</v>
      </c>
      <c r="E165" s="226">
        <v>-240</v>
      </c>
      <c r="F165" s="215">
        <v>0.7</v>
      </c>
      <c r="G165" s="202">
        <f t="shared" ref="G165" si="5">SUM(E165*F165)</f>
        <v>-168</v>
      </c>
    </row>
    <row r="166" spans="1:7" ht="16" thickBot="1" x14ac:dyDescent="0.4">
      <c r="D166" s="252" t="s">
        <v>1047</v>
      </c>
      <c r="E166" s="253"/>
      <c r="F166" s="253"/>
      <c r="G166" s="219">
        <f>SUM(G165:G165)</f>
        <v>-168</v>
      </c>
    </row>
    <row r="168" spans="1:7" ht="15" thickBot="1" x14ac:dyDescent="0.4"/>
    <row r="169" spans="1:7" ht="16" thickBot="1" x14ac:dyDescent="0.4">
      <c r="D169" s="254" t="s">
        <v>1048</v>
      </c>
      <c r="E169" s="255"/>
      <c r="F169" s="255"/>
      <c r="G169" s="229">
        <f>SUM(G145,G152,G160,G166)</f>
        <v>837695.3</v>
      </c>
    </row>
  </sheetData>
  <mergeCells count="16">
    <mergeCell ref="D116:F116"/>
    <mergeCell ref="E107:F107"/>
    <mergeCell ref="A110:E110"/>
    <mergeCell ref="A13:E13"/>
    <mergeCell ref="F13:G13"/>
    <mergeCell ref="F108:G108"/>
    <mergeCell ref="A120:E120"/>
    <mergeCell ref="A147:E147"/>
    <mergeCell ref="D152:F152"/>
    <mergeCell ref="D145:F145"/>
    <mergeCell ref="D118:F118"/>
    <mergeCell ref="D166:F166"/>
    <mergeCell ref="D169:F169"/>
    <mergeCell ref="A155:E155"/>
    <mergeCell ref="D160:F160"/>
    <mergeCell ref="A163:E163"/>
  </mergeCells>
  <phoneticPr fontId="27" type="noConversion"/>
  <pageMargins left="0.7" right="0.7" top="0.75" bottom="0.75" header="0.3" footer="0.3"/>
  <pageSetup orientation="portrait" verticalDpi="0" r:id="rId1"/>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923CE99998B34392A3E9723E0D11F7" ma:contentTypeVersion="2" ma:contentTypeDescription="Create a new document." ma:contentTypeScope="" ma:versionID="a8fe6ca219ea58a44373d2660ebf491f">
  <xsd:schema xmlns:xsd="http://www.w3.org/2001/XMLSchema" xmlns:xs="http://www.w3.org/2001/XMLSchema" xmlns:p="http://schemas.microsoft.com/office/2006/metadata/properties" xmlns:ns3="50a863b0-8229-434f-a766-094308532db8" targetNamespace="http://schemas.microsoft.com/office/2006/metadata/properties" ma:root="true" ma:fieldsID="cd6bc92d713cb46b194e65f8b3acaa72" ns3:_="">
    <xsd:import namespace="50a863b0-8229-434f-a766-094308532db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a863b0-8229-434f-a766-094308532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8 E A A B Q S w M E F A A C A A g A j o C / 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j o C / 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6 A v 1 Q P u z j + q Q E A A D 8 N A A A T A B w A R m 9 y b X V s Y X M v U 2 V j d G l v b j E u b S C i G A A o o B Q A A A A A A A A A A A A A A A A A A A A A A A A A A A D d 0 0 1 r 4 z A Q B u B 7 I P 9 h U C 8 J G G P L X 6 F L D r v p F k o v 2 T b Q L k k I S j x J v N h y k G T Y E v L f K z v u B 6 w o L W s w 2 B f D O y N p 5 A d L 3 K g k 5 3 B / f r v f + r 1 + T + 6 Z w B g u y I y t U 3 Q c F w Z T t k N w h w T G k K L q 9 0 A / 9 3 k h N q i T a b y 1 q 1 Y 5 u E 5 S t C c 5 V 8 i V H J B f l 4 v v K P L F T 7 5 L O K J I + K 4 K O C t U s p G r q c j / 6 J N X P 5 J 4 p X c o U l Z O I R f U o R R 0 K B d X t 4 9 w h 3 u 2 h r u H 3 + D Q F X X K A u h u K L s c 6 k b 2 I d 6 S o Q X z m + y Q Y q a P r r Y Z E 9 f 2 y H J o n c d 9 v c y 4 n v w 4 v 4 n H r 3 c k y 9 P 8 i i m 2 r N s v y G T P + E 5 / h 9 n T A c u L V 5 3 2 T D A u t 7 n I J n l a Z L w s y s H L J t b x S M 6 5 S y x Q u g Y K / 6 q T B S 8 5 1 f m k E A L 5 5 s k u F 7 + r e f / U T s N + L + H G g Y x S t J a i X Z C i Z i n a h B R t W 8 q r p b w u S H l m K a 8 J K a 9 t K b + W 8 r s g 5 Z u l / C a k / L a l g l o q 6 I J U Y J Y K m p A K P i f 1 l n 9 V I u y S R G i W C J u Q C N v + Z 6 J a K u y C V G S W i p q Q i t q W G t V S U R e k R m a p U R N S o / + X q t b w I l u j + N D p G V B L A Q I t A B Q A A g A I A I 6 A v 1 S H I L 8 k p A A A A P U A A A A S A A A A A A A A A A A A A A A A A A A A A A B D b 2 5 m a W c v U G F j a 2 F n Z S 5 4 b W x Q S w E C L Q A U A A I A C A C O g L 9 U D 8 r p q 6 Q A A A D p A A A A E w A A A A A A A A A A A A A A A A D w A A A A W 0 N v b n R l b n R f V H l w Z X N d L n h t b F B L A Q I t A B Q A A g A I A I 6 A v 1 Q P u z j + q Q E A A D 8 N A A A T A A A A A A A A A A A A A A A A A O E B A A B G b 3 J t d W x h c y 9 T Z W N 0 a W 9 u M S 5 t U E s F B g A A A A A D A A M A w g A A A N c 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8 m A A A A A A A A f S 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D A x J T I w K F B h Z 2 U l M j A x 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T Y 5 M T Y 2 O V o i I C 8 + P E V u d H J 5 I F R 5 c G U 9 I k Z p b G x T d G F 0 d X M i I F Z h b H V l P S J z Q 2 9 t c G x l d G U i I C 8 + P C 9 T d G F i b G V F b n R y a W V z P j w v S X R l b T 4 8 S X R l b T 4 8 S X R l b U x v Y 2 F 0 a W 9 u P j x J d G V t V H l w Z T 5 G b 3 J t d W x h P C 9 J d G V t V H l w Z T 4 8 S X R l b V B h d G g + U 2 V j d G l v b j E v V G F i b G U w M D E l M j A o U G F n Z S U y M D E p L 1 N v d X J j Z T w v S X R l b V B h d G g + P C 9 J d G V t T G 9 j Y X R p b 2 4 + P F N 0 Y W J s Z U V u d H J p Z X M g L z 4 8 L 0 l 0 Z W 0 + P E l 0 Z W 0 + P E l 0 Z W 1 M b 2 N h d G l v b j 4 8 S X R l b V R 5 c G U + R m 9 y b X V s Y T w v S X R l b V R 5 c G U + P E l 0 Z W 1 Q Y X R o P l N l Y 3 R p b 2 4 x L 1 R h Y m x l M D A x J T I w K F B h Z 2 U l M j A x K S 9 U Y W J s Z T A w M T w v S X R l b V B h d G g + P C 9 J d G V t T G 9 j Y X R p b 2 4 + P F N 0 Y W J s Z U V u d H J p Z X M g L z 4 8 L 0 l 0 Z W 0 + P E l 0 Z W 0 + P E l 0 Z W 1 M b 2 N h d G l v b j 4 8 S X R l b V R 5 c G U + R m 9 y b X V s Y T w v S X R l b V R 5 c G U + P E l 0 Z W 1 Q Y X R o P l N l Y 3 R p b 2 4 x L 1 R h Y m x l M D A x J T I w K F B h Z 2 U l M j A x K S 9 D a G F u Z 2 V k J T I w V H l w Z T w v S X R l b V B h d G g + P C 9 J d G V t T G 9 j Y X R p b 2 4 + P F N 0 Y W J s Z U V u d H J p Z X M g L z 4 8 L 0 l 0 Z W 0 + P E l 0 Z W 0 + P E l 0 Z W 1 M b 2 N h d G l v b j 4 8 S X R l b V R 5 c G U + R m 9 y b X V s Y T w v S X R l b V R 5 c G U + P E l 0 Z W 1 Q Y X R o P l N l Y 3 R p b 2 4 x L 1 R h Y m x l M D A y J T I w K F B h Z 2 U l M j A 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T g 0 O T A 3 M F o i I C 8 + P E V u d H J 5 I F R 5 c G U 9 I k Z p b G x T d G F 0 d X M i I F Z h b H V l P S J z Q 2 9 t c G x l d G U i I C 8 + P C 9 T d G F i b G V F b n R y a W V z P j w v S X R l b T 4 8 S X R l b T 4 8 S X R l b U x v Y 2 F 0 a W 9 u P j x J d G V t V H l w Z T 5 G b 3 J t d W x h P C 9 J d G V t V H l w Z T 4 8 S X R l b V B h d G g + U 2 V j d G l v b j E v V G F i b G U w M D I l M j A o U G F n Z S U y M D I p L 1 N v d X J j Z T w v S X R l b V B h d G g + P C 9 J d G V t T G 9 j Y X R p b 2 4 + P F N 0 Y W J s Z U V u d H J p Z X M g L z 4 8 L 0 l 0 Z W 0 + P E l 0 Z W 0 + P E l 0 Z W 1 M b 2 N h d G l v b j 4 8 S X R l b V R 5 c G U + R m 9 y b X V s Y T w v S X R l b V R 5 c G U + P E l 0 Z W 1 Q Y X R o P l N l Y 3 R p b 2 4 x L 1 R h Y m x l M D A y J T I w K F B h Z 2 U l M j A y K S 9 U Y W J s Z T A w M j w v S X R l b V B h d G g + P C 9 J d G V t T G 9 j Y X R p b 2 4 + P F N 0 Y W J s Z U V u d H J p Z X M g L z 4 8 L 0 l 0 Z W 0 + P E l 0 Z W 0 + P E l 0 Z W 1 M b 2 N h d G l v b j 4 8 S X R l b V R 5 c G U + R m 9 y b X V s Y T w v S X R l b V R 5 c G U + P E l 0 Z W 1 Q Y X R o P l N l Y 3 R p b 2 4 x L 1 R h Y m x l M D A y J T I w K F B h Z 2 U l M j A y K S 9 D a G F u Z 2 V k J T I w V H l w Z T w v S X R l b V B h d G g + P C 9 J d G V t T G 9 j Y X R p b 2 4 + P F N 0 Y W J s Z U V u d H J p Z X M g L z 4 8 L 0 l 0 Z W 0 + P E l 0 Z W 0 + P E l 0 Z W 1 M b 2 N h d G l v b j 4 8 S X R l b V R 5 c G U + R m 9 y b X V s Y T w v S X R l b V R 5 c G U + P E l 0 Z W 1 Q Y X R o P l N l Y 3 R p b 2 4 x L 1 R h Y m x l M D A z J T I w K F B h Z 2 U l M j A 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T g 0 O T A 3 M F o i I C 8 + P E V u d H J 5 I F R 5 c G U 9 I k Z p b G x T d G F 0 d X M i I F Z h b H V l P S J z Q 2 9 t c G x l d G U i I C 8 + P C 9 T d G F i b G V F b n R y a W V z P j w v S X R l b T 4 8 S X R l b T 4 8 S X R l b U x v Y 2 F 0 a W 9 u P j x J d G V t V H l w Z T 5 G b 3 J t d W x h P C 9 J d G V t V H l w Z T 4 8 S X R l b V B h d G g + U 2 V j d G l v b j E v V G F i b G U w M D M l M j A o U G F n Z S U y M D M p L 1 N v d X J j Z T w v S X R l b V B h d G g + P C 9 J d G V t T G 9 j Y X R p b 2 4 + P F N 0 Y W J s Z U V u d H J p Z X M g L z 4 8 L 0 l 0 Z W 0 + P E l 0 Z W 0 + P E l 0 Z W 1 M b 2 N h d G l v b j 4 8 S X R l b V R 5 c G U + R m 9 y b X V s Y T w v S X R l b V R 5 c G U + P E l 0 Z W 1 Q Y X R o P l N l Y 3 R p b 2 4 x L 1 R h Y m x l M D A z J T I w K F B h Z 2 U l M j A z K S 9 U Y W J s Z T A w M z w v S X R l b V B h d G g + P C 9 J d G V t T G 9 j Y X R p b 2 4 + P F N 0 Y W J s Z U V u d H J p Z X M g L z 4 8 L 0 l 0 Z W 0 + P E l 0 Z W 0 + P E l 0 Z W 1 M b 2 N h d G l v b j 4 8 S X R l b V R 5 c G U + R m 9 y b X V s Y T w v S X R l b V R 5 c G U + P E l 0 Z W 1 Q Y X R o P l N l Y 3 R p b 2 4 x L 1 R h Y m x l M D A z J T I w K F B h Z 2 U l M j A z K S 9 D a G F u Z 2 V k J T I w V H l w Z T w v S X R l b V B h d G g + P C 9 J d G V t T G 9 j Y X R p b 2 4 + P F N 0 Y W J s Z U V u d H J p Z X M g L z 4 8 L 0 l 0 Z W 0 + P E l 0 Z W 0 + P E l 0 Z W 1 M b 2 N h d G l v b j 4 8 S X R l b V R 5 c G U + R m 9 y b X V s Y T w v S X R l b V R 5 c G U + P E l 0 Z W 1 Q Y X R o P l N l Y 3 R p b 2 4 x L 1 R h Y m x l M D A 0 J T I w K F B h Z 2 U l M j A 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j A 0 N T U 0 M 1 o i I C 8 + P E V u d H J 5 I F R 5 c G U 9 I k Z p b G x T d G F 0 d X M i I F Z h b H V l P S J z Q 2 9 t c G x l d G U i I C 8 + P C 9 T d G F i b G V F b n R y a W V z P j w v S X R l b T 4 8 S X R l b T 4 8 S X R l b U x v Y 2 F 0 a W 9 u P j x J d G V t V H l w Z T 5 G b 3 J t d W x h P C 9 J d G V t V H l w Z T 4 8 S X R l b V B h d G g + U 2 V j d G l v b j E v V G F i b G U w M D Q l M j A o U G F n Z S U y M D Q p L 1 N v d X J j Z T w v S X R l b V B h d G g + P C 9 J d G V t T G 9 j Y X R p b 2 4 + P F N 0 Y W J s Z U V u d H J p Z X M g L z 4 8 L 0 l 0 Z W 0 + P E l 0 Z W 0 + P E l 0 Z W 1 M b 2 N h d G l v b j 4 8 S X R l b V R 5 c G U + R m 9 y b X V s Y T w v S X R l b V R 5 c G U + P E l 0 Z W 1 Q Y X R o P l N l Y 3 R p b 2 4 x L 1 R h Y m x l M D A 0 J T I w K F B h Z 2 U l M j A 0 K S 9 U Y W J s Z T A w N D w v S X R l b V B h d G g + P C 9 J d G V t T G 9 j Y X R p b 2 4 + P F N 0 Y W J s Z U V u d H J p Z X M g L z 4 8 L 0 l 0 Z W 0 + P E l 0 Z W 0 + P E l 0 Z W 1 M b 2 N h d G l v b j 4 8 S X R l b V R 5 c G U + R m 9 y b X V s Y T w v S X R l b V R 5 c G U + P E l 0 Z W 1 Q Y X R o P l N l Y 3 R p b 2 4 x L 1 R h Y m x l M D A 0 J T I w K F B h Z 2 U l M j A 0 K S 9 D a G F u Z 2 V k J T I w V H l w Z T w v S X R l b V B h d G g + P C 9 J d G V t T G 9 j Y X R p b 2 4 + P F N 0 Y W J s Z U V u d H J p Z X M g L z 4 8 L 0 l 0 Z W 0 + P E l 0 Z W 0 + P E l 0 Z W 1 M b 2 N h d G l v b j 4 8 S X R l b V R 5 c G U + R m 9 y b X V s Y T w v S X R l b V R 5 c G U + P E l 0 Z W 1 Q Y X R o P l N l Y 3 R p b 2 4 x L 1 R h Y m x l M D A 1 J T I w K F B h Z 2 U l M j A 1 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j A 0 N T U 0 M 1 o i I C 8 + P E V u d H J 5 I F R 5 c G U 9 I k Z p b G x T d G F 0 d X M i I F Z h b H V l P S J z Q 2 9 t c G x l d G U i I C 8 + P C 9 T d G F i b G V F b n R y a W V z P j w v S X R l b T 4 8 S X R l b T 4 8 S X R l b U x v Y 2 F 0 a W 9 u P j x J d G V t V H l w Z T 5 G b 3 J t d W x h P C 9 J d G V t V H l w Z T 4 8 S X R l b V B h d G g + U 2 V j d G l v b j E v V G F i b G U w M D U l M j A o U G F n Z S U y M D U p L 1 N v d X J j Z T w v S X R l b V B h d G g + P C 9 J d G V t T G 9 j Y X R p b 2 4 + P F N 0 Y W J s Z U V u d H J p Z X M g L z 4 8 L 0 l 0 Z W 0 + P E l 0 Z W 0 + P E l 0 Z W 1 M b 2 N h d G l v b j 4 8 S X R l b V R 5 c G U + R m 9 y b X V s Y T w v S X R l b V R 5 c G U + P E l 0 Z W 1 Q Y X R o P l N l Y 3 R p b 2 4 x L 1 R h Y m x l M D A 1 J T I w K F B h Z 2 U l M j A 1 K S 9 U Y W J s Z T A w N T w v S X R l b V B h d G g + P C 9 J d G V t T G 9 j Y X R p b 2 4 + P F N 0 Y W J s Z U V u d H J p Z X M g L z 4 8 L 0 l 0 Z W 0 + P E l 0 Z W 0 + P E l 0 Z W 1 M b 2 N h d G l v b j 4 8 S X R l b V R 5 c G U + R m 9 y b X V s Y T w v S X R l b V R 5 c G U + P E l 0 Z W 1 Q Y X R o P l N l Y 3 R p b 2 4 x L 1 R h Y m x l M D A 1 J T I w K F B h Z 2 U l M j A 1 K S 9 D a G F u Z 2 V k J T I w V H l w Z T w v S X R l b V B h d G g + P C 9 J d G V t T G 9 j Y X R p b 2 4 + P F N 0 Y W J s Z U V u d H J p Z X M g L z 4 8 L 0 l 0 Z W 0 + P E l 0 Z W 0 + P E l 0 Z W 1 M b 2 N h d G l v b j 4 8 S X R l b V R 5 c G U + R m 9 y b X V s Y T w v S X R l b V R 5 c G U + P E l 0 Z W 1 Q Y X R o P l N l Y 3 R p b 2 4 x L 1 R h Y m x l M D A 2 J T I w K F B h Z 2 U l M j A 1 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j A 0 N T U 0 M 1 o i I C 8 + P E V u d H J 5 I F R 5 c G U 9 I k Z p b G x T d G F 0 d X M i I F Z h b H V l P S J z Q 2 9 t c G x l d G U i I C 8 + P C 9 T d G F i b G V F b n R y a W V z P j w v S X R l b T 4 8 S X R l b T 4 8 S X R l b U x v Y 2 F 0 a W 9 u P j x J d G V t V H l w Z T 5 G b 3 J t d W x h P C 9 J d G V t V H l w Z T 4 8 S X R l b V B h d G g + U 2 V j d G l v b j E v V G F i b G U w M D Y l M j A o U G F n Z S U y M D U p L 1 N v d X J j Z T w v S X R l b V B h d G g + P C 9 J d G V t T G 9 j Y X R p b 2 4 + P F N 0 Y W J s Z U V u d H J p Z X M g L z 4 8 L 0 l 0 Z W 0 + P E l 0 Z W 0 + P E l 0 Z W 1 M b 2 N h d G l v b j 4 8 S X R l b V R 5 c G U + R m 9 y b X V s Y T w v S X R l b V R 5 c G U + P E l 0 Z W 1 Q Y X R o P l N l Y 3 R p b 2 4 x L 1 R h Y m x l M D A 2 J T I w K F B h Z 2 U l M j A 1 K S 9 U Y W J s Z T A w N j w v S X R l b V B h d G g + P C 9 J d G V t T G 9 j Y X R p b 2 4 + P F N 0 Y W J s Z U V u d H J p Z X M g L z 4 8 L 0 l 0 Z W 0 + P E l 0 Z W 0 + P E l 0 Z W 1 M b 2 N h d G l v b j 4 8 S X R l b V R 5 c G U + R m 9 y b X V s Y T w v S X R l b V R 5 c G U + P E l 0 Z W 1 Q Y X R o P l N l Y 3 R p b 2 4 x L 1 R h Y m x l M D A 2 J T I w K F B h Z 2 U l M j A 1 K S 9 D a G F u Z 2 V k J T I w V H l w Z T w v S X R l b V B h d G g + P C 9 J d G V t T G 9 j Y X R p b 2 4 + P F N 0 Y W J s Z U V u d H J p Z X M g L z 4 8 L 0 l 0 Z W 0 + P E l 0 Z W 0 + P E l 0 Z W 1 M b 2 N h d G l v b j 4 8 S X R l b V R 5 c G U + R m 9 y b X V s Y T w v S X R l b V R 5 c G U + P E l 0 Z W 1 Q Y X R o P l N l Y 3 R p b 2 4 x L 1 R h Y m x l M D A 3 J T I w K F B h Z 2 U l M j A 2 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j I w M j g 1 O V o i I C 8 + P E V u d H J 5 I F R 5 c G U 9 I k Z p b G x T d G F 0 d X M i I F Z h b H V l P S J z Q 2 9 t c G x l d G U i I C 8 + P C 9 T d G F i b G V F b n R y a W V z P j w v S X R l b T 4 8 S X R l b T 4 8 S X R l b U x v Y 2 F 0 a W 9 u P j x J d G V t V H l w Z T 5 G b 3 J t d W x h P C 9 J d G V t V H l w Z T 4 8 S X R l b V B h d G g + U 2 V j d G l v b j E v V G F i b G U w M D c l M j A o U G F n Z S U y M D Y p L 1 N v d X J j Z T w v S X R l b V B h d G g + P C 9 J d G V t T G 9 j Y X R p b 2 4 + P F N 0 Y W J s Z U V u d H J p Z X M g L z 4 8 L 0 l 0 Z W 0 + P E l 0 Z W 0 + P E l 0 Z W 1 M b 2 N h d G l v b j 4 8 S X R l b V R 5 c G U + R m 9 y b X V s Y T w v S X R l b V R 5 c G U + P E l 0 Z W 1 Q Y X R o P l N l Y 3 R p b 2 4 x L 1 R h Y m x l M D A 3 J T I w K F B h Z 2 U l M j A 2 K S 9 U Y W J s Z T A w N z w v S X R l b V B h d G g + P C 9 J d G V t T G 9 j Y X R p b 2 4 + P F N 0 Y W J s Z U V u d H J p Z X M g L z 4 8 L 0 l 0 Z W 0 + P E l 0 Z W 0 + P E l 0 Z W 1 M b 2 N h d G l v b j 4 8 S X R l b V R 5 c G U + R m 9 y b X V s Y T w v S X R l b V R 5 c G U + P E l 0 Z W 1 Q Y X R o P l N l Y 3 R p b 2 4 x L 1 R h Y m x l M D A 3 J T I w K F B h Z 2 U l M j A 2 K S 9 D a G F u Z 2 V k J T I w V H l w Z T w v S X R l b V B h d G g + P C 9 J d G V t T G 9 j Y X R p b 2 4 + P F N 0 Y W J s Z U V u d H J p Z X M g L z 4 8 L 0 l 0 Z W 0 + P E l 0 Z W 0 + P E l 0 Z W 1 M b 2 N h d G l v b j 4 8 S X R l b V R 5 c G U + R m 9 y b X V s Y T w v S X R l b V R 5 c G U + P E l 0 Z W 1 Q Y X R o P l N l Y 3 R p b 2 4 x L 1 R h Y m x l M D A 4 J T I w K F B h Z 2 U l M j A 3 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I t M D U t M z F U M j A 6 N T Q 6 M j Y u M j I w M j g 1 O V o i I C 8 + P E V u d H J 5 I F R 5 c G U 9 I k Z p b G x T d G F 0 d X M i I F Z h b H V l P S J z Q 2 9 t c G x l d G U i I C 8 + P C 9 T d G F i b G V F b n R y a W V z P j w v S X R l b T 4 8 S X R l b T 4 8 S X R l b U x v Y 2 F 0 a W 9 u P j x J d G V t V H l w Z T 5 G b 3 J t d W x h P C 9 J d G V t V H l w Z T 4 8 S X R l b V B h d G g + U 2 V j d G l v b j E v V G F i b G U w M D g l M j A o U G F n Z S U y M D c p L 1 N v d X J j Z T w v S X R l b V B h d G g + P C 9 J d G V t T G 9 j Y X R p b 2 4 + P F N 0 Y W J s Z U V u d H J p Z X M g L z 4 8 L 0 l 0 Z W 0 + P E l 0 Z W 0 + P E l 0 Z W 1 M b 2 N h d G l v b j 4 8 S X R l b V R 5 c G U + R m 9 y b X V s Y T w v S X R l b V R 5 c G U + P E l 0 Z W 1 Q Y X R o P l N l Y 3 R p b 2 4 x L 1 R h Y m x l M D A 4 J T I w K F B h Z 2 U l M j A 3 K S 9 U Y W J s Z T A w O D w v S X R l b V B h d G g + P C 9 J d G V t T G 9 j Y X R p b 2 4 + P F N 0 Y W J s Z U V u d H J p Z X M g L z 4 8 L 0 l 0 Z W 0 + P E l 0 Z W 0 + P E l 0 Z W 1 M b 2 N h d G l v b j 4 8 S X R l b V R 5 c G U + R m 9 y b X V s Y T w v S X R l b V R 5 c G U + P E l 0 Z W 1 Q Y X R o P l N l Y 3 R p b 2 4 x L 1 R h Y m x l M D A 4 J T I w K F B h Z 2 U l M j A 3 K S 9 D a G F u Z 2 V k J T I w V H l w Z T w v S X R l b V B h d G g + P C 9 J d G V t T G 9 j Y X R p b 2 4 + P F N 0 Y W J s Z U V u d H J p Z X M g L z 4 8 L 0 l 0 Z W 0 + P C 9 J d G V t c z 4 8 L 0 x v Y 2 F s U G F j a 2 F n Z U 1 l d G F k Y X R h R m l s Z T 4 W A A A A U E s F B g A A A A A A A A A A A A A A A A A A A A A A A N o A A A A B A A A A 0 I y d 3 w E V 0 R G M e g D A T 8 K X 6 w E A A A A 6 9 M v T g o F Q Q a e A R j H i W O y x A A A A A A I A A A A A A A N m A A D A A A A A E A A A A M B z g f w 4 S r 0 9 3 n A d O q f w c v c A A A A A B I A A A K A A A A A Q A A A A a b a Q 9 j e Y C Q Q m E F v / b / h 3 K l A A A A C S O L 4 c P K N 4 O w J O s 4 A a P B I Y r c P i k u P W Y X u X O e m r K E 4 9 h z A 9 T k S a 6 S L 8 3 1 y Y 9 P 5 D 4 / G S j T 1 M 1 a L t Z f 3 7 P h X P x n 5 s r e g N N X 6 v Q y G 3 q 1 y 3 d B I s A R Q A A A C / h S W N l o N 7 5 6 Q D n a 8 Q Y 3 Z g P G h T A g = = < / D a t a M a s h u p > 
</file>

<file path=customXml/itemProps1.xml><?xml version="1.0" encoding="utf-8"?>
<ds:datastoreItem xmlns:ds="http://schemas.openxmlformats.org/officeDocument/2006/customXml" ds:itemID="{6AB13B6F-30C4-4F0B-AA06-7D01D4392D4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50a863b0-8229-434f-a766-094308532db8"/>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B27B577-52C4-4E4F-B93F-05B72D3DE678}">
  <ds:schemaRefs>
    <ds:schemaRef ds:uri="http://schemas.microsoft.com/sharepoint/v3/contenttype/forms"/>
  </ds:schemaRefs>
</ds:datastoreItem>
</file>

<file path=customXml/itemProps3.xml><?xml version="1.0" encoding="utf-8"?>
<ds:datastoreItem xmlns:ds="http://schemas.openxmlformats.org/officeDocument/2006/customXml" ds:itemID="{4755427F-EEFE-4582-932C-976FD2BA2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a863b0-8229-434f-a766-094308532d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B4F585-8502-4EA1-AAB7-BC3A1ADF199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GUIDE</vt:lpstr>
      <vt:lpstr>DATA</vt:lpstr>
      <vt:lpstr>INDEX</vt:lpstr>
      <vt:lpstr>1M5</vt:lpstr>
      <vt:lpstr>M02</vt:lpstr>
      <vt:lpstr>3M7</vt:lpstr>
      <vt:lpstr>MRC</vt:lpstr>
      <vt:lpstr>CSV</vt:lpstr>
      <vt:lpstr>DKX</vt:lpstr>
      <vt:lpstr>FYM</vt:lpstr>
      <vt:lpstr>2A1</vt:lpstr>
      <vt:lpstr>JAU</vt:lpstr>
      <vt:lpstr>RNC</vt:lpstr>
      <vt:lpstr>TRI</vt:lpstr>
      <vt:lpstr>TRI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Pindrock</dc:creator>
  <cp:lastModifiedBy>Jennifer Johns</cp:lastModifiedBy>
  <cp:lastPrinted>2022-06-01T19:06:09Z</cp:lastPrinted>
  <dcterms:created xsi:type="dcterms:W3CDTF">2022-05-27T21:09:03Z</dcterms:created>
  <dcterms:modified xsi:type="dcterms:W3CDTF">2022-11-03T17:30:17Z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0x010100D6923CE99998B34392A3E9723E0D11F7</vt:lpwstr>
  </property>
</Properties>
</file>